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50" tabRatio="796" firstSheet="5" activeTab="10"/>
  </bookViews>
  <sheets>
    <sheet name="Расчет субсидии" sheetId="1" r:id="rId1"/>
    <sheet name="МОП" sheetId="2" r:id="rId2"/>
    <sheet name="ТО" sheetId="3" r:id="rId3"/>
    <sheet name="Мат" sheetId="4" r:id="rId4"/>
    <sheet name="ОТ" sheetId="5" r:id="rId5"/>
    <sheet name="Общ" sheetId="6" r:id="rId6"/>
    <sheet name="Освещен" sheetId="7" r:id="rId7"/>
    <sheet name="Затраты" sheetId="8" r:id="rId8"/>
    <sheet name="Данные для расчета" sheetId="9" r:id="rId9"/>
    <sheet name="Приложение №1" sheetId="10" r:id="rId10"/>
    <sheet name="Приложение №2" sheetId="11" r:id="rId11"/>
    <sheet name="Приложение №3" sheetId="12" r:id="rId12"/>
  </sheets>
  <definedNames>
    <definedName name="_xlnm.Print_Area" localSheetId="3">'Мат'!$A$1:$K$80</definedName>
    <definedName name="_xlnm.Print_Area" localSheetId="9">'Приложение №1'!$A$1:$C$97</definedName>
    <definedName name="_xlnm.Print_Area" localSheetId="10">'Приложение №2'!$A$1:$E$42</definedName>
    <definedName name="_xlnm.Print_Area" localSheetId="11">'Приложение №3'!$A$1:$E$28</definedName>
    <definedName name="_xlnm.Print_Area" localSheetId="0">'Расчет субсидии'!$A$1:$J$175</definedName>
    <definedName name="_xlnm.Print_Area" localSheetId="2">'ТО'!$C$1:$P$48</definedName>
  </definedNames>
  <calcPr fullCalcOnLoad="1"/>
</workbook>
</file>

<file path=xl/sharedStrings.xml><?xml version="1.0" encoding="utf-8"?>
<sst xmlns="http://schemas.openxmlformats.org/spreadsheetml/2006/main" count="1261" uniqueCount="620">
  <si>
    <t>1000м2 осматриваемых помещений</t>
  </si>
  <si>
    <t xml:space="preserve"> 1.10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</si>
  <si>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</t>
  </si>
  <si>
    <t xml:space="preserve"> 1.13</t>
  </si>
  <si>
    <t>100 м3 здания</t>
  </si>
  <si>
    <t>4, 3</t>
  </si>
  <si>
    <t>Испытание трубопроводов системы центрального отопления</t>
  </si>
  <si>
    <t>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</t>
  </si>
  <si>
    <t>Рабочая проверка системы в целом. Осмотр трубопровода с отметкой дефектных мест. Спуск воды из трубопровода и устранение дефектов.</t>
  </si>
  <si>
    <t>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</si>
  <si>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Проверка на прогрев отопительных приборов с регулировкой</t>
  </si>
  <si>
    <t xml:space="preserve"> 1.14</t>
  </si>
  <si>
    <t xml:space="preserve">Проверка исправности канализационных вытяжек в год. </t>
  </si>
  <si>
    <t>квартира</t>
  </si>
  <si>
    <t>Замеры сопротивления изоляции проводов</t>
  </si>
  <si>
    <t>Численность раб-в</t>
  </si>
  <si>
    <t>Норма расхода на 1 место</t>
  </si>
  <si>
    <t>10 шт кирпича</t>
  </si>
  <si>
    <t>Поковки из квадратных заготовок</t>
  </si>
  <si>
    <t>Пробка деревянная</t>
  </si>
  <si>
    <t>Раствор цементный</t>
  </si>
  <si>
    <t>Норма расхода на 1 ухват</t>
  </si>
  <si>
    <t>1 ухват</t>
  </si>
  <si>
    <t>2 петли</t>
  </si>
  <si>
    <t>Норма расхода на 1 полотно, 1 петлю</t>
  </si>
  <si>
    <t>кг</t>
  </si>
  <si>
    <t>Петли</t>
  </si>
  <si>
    <t>Шурупы</t>
  </si>
  <si>
    <t>1м2 полотна</t>
  </si>
  <si>
    <t>15.Проверка состояния и ремонт продухов в цоколях зданий,  ремонт и укрепление входных дверей</t>
  </si>
  <si>
    <t>Норма расхода на 1 м трубопровода</t>
  </si>
  <si>
    <t>Промывкак трубопроводов системы центрального отопления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</si>
  <si>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</si>
  <si>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</si>
  <si>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</si>
  <si>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</si>
  <si>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</si>
  <si>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</si>
  <si>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скотч</t>
  </si>
  <si>
    <t>дырокол</t>
  </si>
  <si>
    <t>зап.книжки</t>
  </si>
  <si>
    <t>степлер</t>
  </si>
  <si>
    <t>ножницы</t>
  </si>
  <si>
    <t>тетрадь А4</t>
  </si>
  <si>
    <t>стикер</t>
  </si>
  <si>
    <t>точилка</t>
  </si>
  <si>
    <t>папка-короб</t>
  </si>
  <si>
    <t>папка-файл</t>
  </si>
  <si>
    <t>мультифора</t>
  </si>
  <si>
    <t>скобы</t>
  </si>
  <si>
    <t>кнопки</t>
  </si>
  <si>
    <t>папка-с кольц</t>
  </si>
  <si>
    <t>уголок пласт</t>
  </si>
  <si>
    <t>календарь пер</t>
  </si>
  <si>
    <t>календарь нас</t>
  </si>
  <si>
    <t>ИТОГО в год</t>
  </si>
  <si>
    <t>Кол-во</t>
  </si>
  <si>
    <t>год</t>
  </si>
  <si>
    <t>стоимость</t>
  </si>
  <si>
    <t>Горячая вода</t>
  </si>
  <si>
    <t>Холодная вода</t>
  </si>
  <si>
    <t>Водоотведение</t>
  </si>
  <si>
    <t>Телефон</t>
  </si>
  <si>
    <t>ручка</t>
  </si>
  <si>
    <t>м3</t>
  </si>
  <si>
    <t>кВт</t>
  </si>
  <si>
    <t>2. Канцелярские расходы</t>
  </si>
  <si>
    <t>3. Коммунальные затраты</t>
  </si>
  <si>
    <t>Площадь</t>
  </si>
  <si>
    <t>Тариф без НДС</t>
  </si>
  <si>
    <t>Сумма в год</t>
  </si>
  <si>
    <t>Стекло оконное 4 мм.:</t>
  </si>
  <si>
    <t xml:space="preserve">Норма расхода            </t>
  </si>
  <si>
    <t xml:space="preserve">кг </t>
  </si>
  <si>
    <t xml:space="preserve">Вода  </t>
  </si>
  <si>
    <t>куб. м</t>
  </si>
  <si>
    <t>Болты с гайками</t>
  </si>
  <si>
    <t>Прокладка паронитовая, толщиной 3 мм.</t>
  </si>
  <si>
    <t>шт./кг.</t>
  </si>
  <si>
    <t>Сурик свинцовый</t>
  </si>
  <si>
    <t>Олифа натуральная</t>
  </si>
  <si>
    <t>Лен трепаный</t>
  </si>
  <si>
    <t>Наименование материала</t>
  </si>
  <si>
    <t>прочистка и промывка радиаторов, на 1 рарадиатор</t>
  </si>
  <si>
    <t>объем работ</t>
  </si>
  <si>
    <t>прочистка и промывка ребристых труб, длиной до 2 м. на 1 трубу</t>
  </si>
  <si>
    <t>стоимость, руб.</t>
  </si>
  <si>
    <t>Затраты на материалы, руб.</t>
  </si>
  <si>
    <t xml:space="preserve">Наименование материала  </t>
  </si>
  <si>
    <t>цена, руб</t>
  </si>
  <si>
    <t xml:space="preserve">Ед. измер.  </t>
  </si>
  <si>
    <t>Затраты, руб.</t>
  </si>
  <si>
    <t>м2</t>
  </si>
  <si>
    <t>Штапики</t>
  </si>
  <si>
    <t>м</t>
  </si>
  <si>
    <t>№ п/п</t>
  </si>
  <si>
    <t>Норма расхода на 1 м2</t>
  </si>
  <si>
    <t xml:space="preserve">Растворы кладочные тяжелые известковые марки 10 </t>
  </si>
  <si>
    <t>Проверка состояния и ремонт продухов в цоколях зданий</t>
  </si>
  <si>
    <t xml:space="preserve">шт.  </t>
  </si>
  <si>
    <t xml:space="preserve">Глина           </t>
  </si>
  <si>
    <t xml:space="preserve">Песок           </t>
  </si>
  <si>
    <t>Кирпич глиняный обыкновенный</t>
  </si>
  <si>
    <t>Ремонт и укрепление входных дверей</t>
  </si>
  <si>
    <t xml:space="preserve">куб. м </t>
  </si>
  <si>
    <t xml:space="preserve">Клей столярный </t>
  </si>
  <si>
    <t xml:space="preserve">кг     </t>
  </si>
  <si>
    <t>Доски II сорт 40 - 70 мм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</si>
  <si>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</si>
  <si>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</si>
  <si>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</si>
  <si>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 xml:space="preserve">Проверка изоляции электропроводки и ее укрепление </t>
  </si>
  <si>
    <t>Объем работ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</si>
  <si>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</si>
  <si>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</si>
  <si>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</si>
  <si>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</si>
  <si>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</si>
  <si>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</si>
  <si>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</si>
  <si>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</si>
  <si>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</si>
  <si>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</si>
  <si>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</si>
  <si>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</si>
  <si>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</si>
  <si>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</si>
  <si>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</si>
  <si>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</si>
  <si>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</si>
  <si>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</si>
  <si>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</si>
  <si>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</si>
  <si>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Проверка заземления оболочки электрокабеля, замеры сопротивления изоляции проводов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</si>
  <si>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</si>
  <si>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</si>
  <si>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</si>
  <si>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</si>
  <si>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итого</t>
  </si>
  <si>
    <t>Ед. измер.</t>
  </si>
  <si>
    <t xml:space="preserve">Ведро                       </t>
  </si>
  <si>
    <t xml:space="preserve">шт./год  </t>
  </si>
  <si>
    <t xml:space="preserve">Веник обыкновенный          </t>
  </si>
  <si>
    <t xml:space="preserve">Совок                       </t>
  </si>
  <si>
    <t>шт./2 года</t>
  </si>
  <si>
    <t>N п/п</t>
  </si>
  <si>
    <t>Норма обеспеченности на одного рабочего</t>
  </si>
  <si>
    <t>Затраты на материалы</t>
  </si>
  <si>
    <t>II. Уборка земельного участка, входящего в состав общего имущества многоквартирного дома</t>
  </si>
  <si>
    <t xml:space="preserve">Ведро                           </t>
  </si>
  <si>
    <t xml:space="preserve">шт./3 года    </t>
  </si>
  <si>
    <t xml:space="preserve">Грабли                         </t>
  </si>
  <si>
    <t xml:space="preserve">Лопата совковая                </t>
  </si>
  <si>
    <t xml:space="preserve">шт./год       </t>
  </si>
  <si>
    <t xml:space="preserve">Метла березовая                </t>
  </si>
  <si>
    <t xml:space="preserve">Тележка                        </t>
  </si>
  <si>
    <t xml:space="preserve">шт./2 года    </t>
  </si>
  <si>
    <t xml:space="preserve">Мешки полиэтиленовые емкостью 20 л </t>
  </si>
  <si>
    <t xml:space="preserve">Наименование инвентаря </t>
  </si>
  <si>
    <t>Стоимость инвентаря</t>
  </si>
  <si>
    <t>Уборка мусора с газонов, транспортировка мусора в установленное место.</t>
  </si>
  <si>
    <t>6. Уборка мусора с газона</t>
  </si>
  <si>
    <t>проверка состояния и ремонт продухов в цоколях зданий</t>
  </si>
  <si>
    <t>ремонт и укрепление входных дверей</t>
  </si>
  <si>
    <t>Гипсовые вяжущие Г-3</t>
  </si>
  <si>
    <t xml:space="preserve">т        </t>
  </si>
  <si>
    <t xml:space="preserve">куб. м   </t>
  </si>
  <si>
    <t xml:space="preserve">кг       </t>
  </si>
  <si>
    <t>Норма расхода на 100 м</t>
  </si>
  <si>
    <t xml:space="preserve">Лента изоляционная </t>
  </si>
  <si>
    <t>Лента киперная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</si>
  <si>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</si>
  <si>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</si>
  <si>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</si>
  <si>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</si>
  <si>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</si>
  <si>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</si>
  <si>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</si>
  <si>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</si>
  <si>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</si>
  <si>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</si>
  <si>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</si>
  <si>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</si>
  <si>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</si>
  <si>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</si>
  <si>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</si>
  <si>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</si>
  <si>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</si>
  <si>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</si>
  <si>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</si>
  <si>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</si>
  <si>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</si>
  <si>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</si>
  <si>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</si>
  <si>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</si>
  <si>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</si>
  <si>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</si>
  <si>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</si>
  <si>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</si>
  <si>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</si>
  <si>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</si>
  <si>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</si>
  <si>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</si>
  <si>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</si>
  <si>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</si>
  <si>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</si>
  <si>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</si>
  <si>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</si>
  <si>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</si>
  <si>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</si>
  <si>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</si>
  <si>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</si>
  <si>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</si>
  <si>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</si>
  <si>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</si>
  <si>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</si>
  <si>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</si>
  <si>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</si>
  <si>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</si>
  <si>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</si>
  <si>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</si>
  <si>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</si>
  <si>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</si>
  <si>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</si>
  <si>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</si>
  <si>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</si>
  <si>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</si>
  <si>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</si>
  <si>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</si>
  <si>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</si>
  <si>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</si>
  <si>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</si>
  <si>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</si>
  <si>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</si>
  <si>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</si>
  <si>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</si>
  <si>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</si>
  <si>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</si>
  <si>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</si>
  <si>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</si>
  <si>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</si>
  <si>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</si>
  <si>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</si>
  <si>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</si>
  <si>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</si>
  <si>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</si>
  <si>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</si>
  <si>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</si>
  <si>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</si>
  <si>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16. Утепление и прочистка дымовентиляционных каналов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</si>
  <si>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</si>
  <si>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</si>
  <si>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</si>
  <si>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</si>
  <si>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</si>
  <si>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</si>
  <si>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</si>
  <si>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</si>
  <si>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</si>
  <si>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</si>
  <si>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</si>
  <si>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</si>
  <si>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</si>
  <si>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</si>
  <si>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</si>
  <si>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</si>
  <si>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</si>
  <si>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</si>
  <si>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</si>
  <si>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</si>
  <si>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</si>
  <si>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</si>
  <si>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</si>
  <si>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</si>
  <si>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</si>
  <si>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</si>
  <si>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</si>
  <si>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</si>
  <si>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</si>
  <si>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</si>
  <si>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</si>
  <si>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</si>
  <si>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</si>
  <si>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</si>
  <si>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</si>
  <si>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</si>
  <si>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</si>
  <si>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</si>
  <si>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</si>
  <si>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Всего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</si>
  <si>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</si>
  <si>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</si>
  <si>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</si>
  <si>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</si>
  <si>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</si>
  <si>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</si>
  <si>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</si>
  <si>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</si>
  <si>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</si>
  <si>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</si>
  <si>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</si>
  <si>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</si>
  <si>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</si>
  <si>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Норма времени на единицу измерения, чел-час</t>
  </si>
  <si>
    <t>Периодичность выполнения работ (раз в год)</t>
  </si>
  <si>
    <t>ОБЯЗАТЕЛЬНЫЙ ПЕРЕЧЕНЬ РАБОТ</t>
  </si>
  <si>
    <t>Расчет нормативной численности рабочих по ремонту конструктивных элементов, содержанию и ремонту \вдио</t>
  </si>
  <si>
    <t>Скребок</t>
  </si>
  <si>
    <t>ФОТ</t>
  </si>
  <si>
    <t>Материалы</t>
  </si>
  <si>
    <t>ОТ и ТБ</t>
  </si>
  <si>
    <t>Освещение</t>
  </si>
  <si>
    <t>Жилая площадь</t>
  </si>
  <si>
    <t>Общая площадь</t>
  </si>
  <si>
    <t>Затраты за спецодежду и охрану труда (профессия слесарь-сантехник)</t>
  </si>
  <si>
    <t>Наименование</t>
  </si>
  <si>
    <t>срок экспл, мес</t>
  </si>
  <si>
    <t>ст-ть</t>
  </si>
  <si>
    <t>всего</t>
  </si>
  <si>
    <t>костюм брезентовый</t>
  </si>
  <si>
    <t>рукавицы комбинированные</t>
  </si>
  <si>
    <t>куртка х/б на утепляющей основе</t>
  </si>
  <si>
    <t>Охрана труда</t>
  </si>
  <si>
    <t>мыло</t>
  </si>
  <si>
    <t>аптечка</t>
  </si>
  <si>
    <t>Затраты за спецодежду и охрану труда (профессия дворник)</t>
  </si>
  <si>
    <t>халат х/б</t>
  </si>
  <si>
    <t>валенки</t>
  </si>
  <si>
    <t>жилет сигнальный</t>
  </si>
  <si>
    <t>шт</t>
  </si>
  <si>
    <t>Договор</t>
  </si>
  <si>
    <t>всего в год</t>
  </si>
  <si>
    <t>Кол-во в год</t>
  </si>
  <si>
    <t>ЕСН в год, руб.</t>
  </si>
  <si>
    <t>Нормативная обеспеченность инвентарем 1-го рабочего в год</t>
  </si>
  <si>
    <t>Подметание земельного участка в летний период</t>
  </si>
  <si>
    <t>Уборка мусора с газона</t>
  </si>
  <si>
    <t>Уборка мусора на контейнерных площадках</t>
  </si>
  <si>
    <t>Сдвижка и подметание снега при отсутствии снегопадов</t>
  </si>
  <si>
    <t>Сдвижка и подметание снега при снегопаде</t>
  </si>
  <si>
    <t>Очистка КП от снега и наледи.</t>
  </si>
  <si>
    <t xml:space="preserve">Лопата штыковая     </t>
  </si>
  <si>
    <t>Движок</t>
  </si>
  <si>
    <t xml:space="preserve">шт./2года       </t>
  </si>
  <si>
    <t>Затраты, всего, руб.</t>
  </si>
  <si>
    <t>Объем выполняемых работ, м</t>
  </si>
  <si>
    <t>Затраты времени на весь объем работ, час.</t>
  </si>
  <si>
    <t>Ед.изм.</t>
  </si>
  <si>
    <t>13.Консервация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</si>
  <si>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Проверка заземления оболочки электрокабеля</t>
  </si>
  <si>
    <t>17. Мелкий ремонт электропроводки Проверка изоляции электропроводки и ее укрепление</t>
  </si>
  <si>
    <t>100 м трубопровода</t>
  </si>
  <si>
    <t>Разряд рабочих</t>
  </si>
  <si>
    <t>6, 5, 3</t>
  </si>
  <si>
    <t>100 м каналов</t>
  </si>
  <si>
    <t>Нормативный расход материалов</t>
  </si>
  <si>
    <t>радиаторы, шт</t>
  </si>
  <si>
    <t>трубы, м</t>
  </si>
  <si>
    <t>Стоимость</t>
  </si>
  <si>
    <t>Расчет затрат по охране труда</t>
  </si>
  <si>
    <t>Затраты за спецодежду и охрану труда (профессия уборщик служ и произв помещ)</t>
  </si>
  <si>
    <t>Норма выдачи на год</t>
  </si>
  <si>
    <t>фартук х/б с нагрудником</t>
  </si>
  <si>
    <t>1 на 1,5 года</t>
  </si>
  <si>
    <t>6 пар</t>
  </si>
  <si>
    <t xml:space="preserve">комбинезон х/б </t>
  </si>
  <si>
    <t>24 мес</t>
  </si>
  <si>
    <t>брюки на утепляющей прокладке</t>
  </si>
  <si>
    <t>ботинки кожанные с жестким подноском</t>
  </si>
  <si>
    <t>12 пар</t>
  </si>
  <si>
    <t>1 пара</t>
  </si>
  <si>
    <t>30 мес</t>
  </si>
  <si>
    <t>сапоги резиновые</t>
  </si>
  <si>
    <t>перчатки резиновые</t>
  </si>
  <si>
    <t>2 пары</t>
  </si>
  <si>
    <t>Годовой баланс рабочего времени</t>
  </si>
  <si>
    <t>1. Расчет ФОТ, ЕСН</t>
  </si>
  <si>
    <t>потребность в год</t>
  </si>
  <si>
    <t>цена</t>
  </si>
  <si>
    <t>сумма</t>
  </si>
  <si>
    <t>стержень</t>
  </si>
  <si>
    <t>тетрадь</t>
  </si>
  <si>
    <t>карандаш</t>
  </si>
  <si>
    <t>клей</t>
  </si>
  <si>
    <t>резинка</t>
  </si>
  <si>
    <t>скрепки</t>
  </si>
  <si>
    <t>кор.</t>
  </si>
  <si>
    <t>линейка</t>
  </si>
  <si>
    <t>скоросшиватель</t>
  </si>
  <si>
    <t>штрих</t>
  </si>
  <si>
    <t>мастика для шт.подушки</t>
  </si>
  <si>
    <t>штемп.подушка</t>
  </si>
  <si>
    <t>постоянно на системах водоснабжения, теплоснабжения, газоснабжения, канализации, энергоснабжения</t>
  </si>
  <si>
    <t>4. Прочие договоры</t>
  </si>
  <si>
    <t>Паспортный стол</t>
  </si>
  <si>
    <t>Приборы учета</t>
  </si>
  <si>
    <t>Магадан</t>
  </si>
  <si>
    <t>пог.м</t>
  </si>
  <si>
    <t>0,82
679,5</t>
  </si>
  <si>
    <t>м2
дверь</t>
  </si>
  <si>
    <t>0,88
5,04</t>
  </si>
  <si>
    <t>м2
пог.м</t>
  </si>
  <si>
    <t>1,71
9,40
1</t>
  </si>
  <si>
    <t>пог.м
пог.м
м3</t>
  </si>
  <si>
    <t xml:space="preserve"> 1.8</t>
  </si>
  <si>
    <t>Консервация системы центрального отопления. Осмотр системы. Составление описи недостатков. Проведение необходимых ремонтных работ. Промывка системы.</t>
  </si>
  <si>
    <t>Осмотр системы центрального отопления Внутриквартирные устройства Проверка состояния трубопровода, отопительных приборов, регулировочной и запорной арматуры.</t>
  </si>
  <si>
    <t>1000м2 жилой площади</t>
  </si>
  <si>
    <t>РАСЧЕТ МАТЕРИАЛЬНЫХ ЗАТРАТ</t>
  </si>
  <si>
    <t>Расчет нормативной численности рабочих, ФОТ, ЕСН</t>
  </si>
  <si>
    <t>Расчет затрат по обслуживанию общего имущества многоквартирного дома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</si>
  <si>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</si>
  <si>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</si>
  <si>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</si>
  <si>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</si>
  <si>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</si>
  <si>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</si>
  <si>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</si>
  <si>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</si>
  <si>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</si>
  <si>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</si>
  <si>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</si>
  <si>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</si>
  <si>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</si>
  <si>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</si>
  <si>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</si>
  <si>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</si>
  <si>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</si>
  <si>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</si>
  <si>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</si>
  <si>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</si>
  <si>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</si>
  <si>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</si>
  <si>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</si>
  <si>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</si>
  <si>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</si>
  <si>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</si>
  <si>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 xml:space="preserve">РАСЧЕТ ЗАТРАТ НА СОДЕРЖАНИЕ И РЕМОНТ ПО жилому дому </t>
  </si>
  <si>
    <t>1м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</si>
  <si>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</si>
  <si>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</si>
  <si>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</si>
  <si>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</si>
  <si>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</si>
  <si>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</si>
  <si>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</si>
  <si>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</si>
  <si>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</si>
  <si>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</si>
  <si>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</si>
  <si>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</si>
  <si>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</si>
  <si>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</si>
  <si>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</si>
  <si>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</si>
  <si>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</si>
  <si>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</si>
  <si>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</si>
  <si>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</si>
  <si>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</si>
  <si>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Д.В.Козлов</t>
  </si>
  <si>
    <t>конкурс 2008</t>
  </si>
  <si>
    <t>пост</t>
  </si>
  <si>
    <t>Стоимость 1 м3 ЖБО (с НДС)</t>
  </si>
  <si>
    <t>Стоимость 1 м3 ТБО (с НДС)</t>
  </si>
  <si>
    <t>2 разряд</t>
  </si>
  <si>
    <t>3 разряд</t>
  </si>
  <si>
    <t>4 разряд</t>
  </si>
  <si>
    <t>5 разряд</t>
  </si>
  <si>
    <t>6 разряд</t>
  </si>
  <si>
    <t>премия раб.МОП</t>
  </si>
  <si>
    <t>премия раб.ТО</t>
  </si>
  <si>
    <t>премия мастера</t>
  </si>
  <si>
    <t>Численность на 1м2
(1 на 25 тыс.м2)</t>
  </si>
  <si>
    <t>паспортный стол</t>
  </si>
  <si>
    <t>Длина трубопровода отопления, м</t>
  </si>
  <si>
    <t>Кол-во петлей на двери</t>
  </si>
  <si>
    <t>Площадь полотна дверей, м2</t>
  </si>
  <si>
    <t>Длина электропроводки, м</t>
  </si>
  <si>
    <t>Площадь отапливаемых помещ, м2</t>
  </si>
  <si>
    <t>Площадь чердака и подвала, м2</t>
  </si>
  <si>
    <t>пост без НДС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</si>
  <si>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</si>
  <si>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Строительный объем здания</t>
  </si>
  <si>
    <t>16. Утепление и прочистка дымовентиляционных каналов, ремонт печей</t>
  </si>
  <si>
    <t>Ремонт печей, договор</t>
  </si>
  <si>
    <t>тел., факс 52-03-51</t>
  </si>
  <si>
    <t>68. Устранение протечек кровли</t>
  </si>
  <si>
    <t>Смена рядового покрытия металической кровли отдельными местами</t>
  </si>
  <si>
    <t>Смена мягкой кровли в два слоя отдельными местами</t>
  </si>
  <si>
    <t>Смена поврежденных листов асбоцементных кровель</t>
  </si>
  <si>
    <t>Смена поврежденных плиток (черепиц) черепичной кровли</t>
  </si>
  <si>
    <t>1 м2 кровли</t>
  </si>
  <si>
    <t>1 м2 сменяемого покрытия</t>
  </si>
  <si>
    <t>1 плитка</t>
  </si>
  <si>
    <t>Металлическая кровля</t>
  </si>
  <si>
    <t>Мягкая кровля</t>
  </si>
  <si>
    <t>Черепичная кровля</t>
  </si>
  <si>
    <t>Асбоцементная кровля</t>
  </si>
  <si>
    <t>% от площ. Крыши</t>
  </si>
  <si>
    <t xml:space="preserve"> от средней стоимости капрем.</t>
  </si>
  <si>
    <t>Сталь кровельная листовая</t>
  </si>
  <si>
    <t>Гвозди 50 мм</t>
  </si>
  <si>
    <t>Поковки оцинкованные</t>
  </si>
  <si>
    <t>т.</t>
  </si>
  <si>
    <t>кг.</t>
  </si>
  <si>
    <t>Норма расхода на 100 м2 покрытия</t>
  </si>
  <si>
    <t xml:space="preserve">Рубероид, толь или пергамин </t>
  </si>
  <si>
    <t xml:space="preserve">Гвозди толевые </t>
  </si>
  <si>
    <t>Мастика горячая</t>
  </si>
  <si>
    <t xml:space="preserve">Дрова          </t>
  </si>
  <si>
    <t>Норма расхода на 1 м2 сменяемого покрытия</t>
  </si>
  <si>
    <t>Асбестоцементные листы</t>
  </si>
  <si>
    <t xml:space="preserve">Шурупы 85 мм    </t>
  </si>
  <si>
    <t>Прокладки толевые</t>
  </si>
  <si>
    <t>Шайбы из оцинкованной стали</t>
  </si>
  <si>
    <t>Гвозди 60 мм</t>
  </si>
  <si>
    <t>Шаблоны коньковые длиной 1200 мм</t>
  </si>
  <si>
    <t>оцинкованные</t>
  </si>
  <si>
    <t>Поковки: строительные</t>
  </si>
  <si>
    <t xml:space="preserve">Черепица     </t>
  </si>
  <si>
    <t xml:space="preserve">шт.   </t>
  </si>
  <si>
    <t xml:space="preserve">кг    </t>
  </si>
  <si>
    <t xml:space="preserve">Известь      </t>
  </si>
  <si>
    <t xml:space="preserve">Раствор      </t>
  </si>
  <si>
    <t xml:space="preserve">Проволока    </t>
  </si>
  <si>
    <t xml:space="preserve">Пакля        </t>
  </si>
  <si>
    <t xml:space="preserve">Гвозди 50 мм       </t>
  </si>
  <si>
    <t>Норма расхода на 1 шт</t>
  </si>
  <si>
    <t>н/у</t>
  </si>
  <si>
    <t>-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</si>
  <si>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</si>
  <si>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</si>
  <si>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</si>
  <si>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</si>
  <si>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</si>
  <si>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ванны напольные</t>
  </si>
  <si>
    <t>Площ стекол</t>
  </si>
  <si>
    <t>изменена площадь</t>
  </si>
  <si>
    <t>без НДС</t>
  </si>
  <si>
    <t>субсидия</t>
  </si>
  <si>
    <t>Расчет затрат на электроэнергию для освещения в случае отсутствия общедомового электросчетчика</t>
  </si>
  <si>
    <t>№ п\п</t>
  </si>
  <si>
    <t>Показатели</t>
  </si>
  <si>
    <t>Количество подъездов</t>
  </si>
  <si>
    <t>Количество лестничных площадок</t>
  </si>
  <si>
    <t>Освещаемая площадь подвала</t>
  </si>
  <si>
    <t>кв.м</t>
  </si>
  <si>
    <t>Нормативная площадь подвала на 1 осветительную точку</t>
  </si>
  <si>
    <t>Количество осветительных точек в подвале</t>
  </si>
  <si>
    <t>час.</t>
  </si>
  <si>
    <t>Мощность 1 э/лампочки</t>
  </si>
  <si>
    <t>Вт/час</t>
  </si>
  <si>
    <t>Вт.</t>
  </si>
  <si>
    <t>кВт.</t>
  </si>
  <si>
    <t>Цена за 1 кВт</t>
  </si>
  <si>
    <t>руб.</t>
  </si>
  <si>
    <t>Нормативная продолжительност горения 1 лампочки</t>
  </si>
  <si>
    <t>Стоимость 1 э/лампочки</t>
  </si>
  <si>
    <t>Всего затраты на освещение</t>
  </si>
  <si>
    <t>10. Освещение мест общего пользования</t>
  </si>
  <si>
    <t>часов в сутки</t>
  </si>
  <si>
    <t>27. Уборочная площадь крыши</t>
  </si>
  <si>
    <t>чердачные</t>
  </si>
  <si>
    <t xml:space="preserve"> </t>
  </si>
  <si>
    <t>центральное</t>
  </si>
  <si>
    <t>Площ.</t>
  </si>
  <si>
    <t>кол-во подъездов</t>
  </si>
  <si>
    <t>деревянные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</si>
  <si>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</si>
  <si>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6. Уборка мусора с газона, очистка урн</t>
  </si>
  <si>
    <t>Очистка урн</t>
  </si>
  <si>
    <t>Очистка урн от мусора. Транспортировка мусора в установленное место.</t>
  </si>
  <si>
    <t>Количество урн</t>
  </si>
  <si>
    <t>13. Консервация, ремонт, регулировка, промывка, испытание, расконсервация системы отопления, ремонт просевшей отмостки</t>
  </si>
  <si>
    <t>Управленческие расходы</t>
  </si>
  <si>
    <t>V. Итого расходы</t>
  </si>
  <si>
    <t>Всего расходы</t>
  </si>
  <si>
    <t>Ремонт просевшей отмостки</t>
  </si>
  <si>
    <t>Площадь ремонта отмостки</t>
  </si>
  <si>
    <t>Стоимость ремонта отмостки руб./м2</t>
  </si>
  <si>
    <t>Количество осветительных точек в подъезде, на лестничных клетках</t>
  </si>
  <si>
    <t>Продолжительность горения всех эл/ламп в год</t>
  </si>
  <si>
    <t>Продолжительность горения всех э/ламп подвале в год</t>
  </si>
  <si>
    <t>Продолжительность горения всех э/ламп в подъездах и лестничных клетках в год</t>
  </si>
  <si>
    <t>Нормативная продолжительность горения 1 э/лампы в подъездах и лестничных клетках в сутки</t>
  </si>
  <si>
    <t>Продолжительность горения 1 э/лампы в подъездах и лестничных клетках в год</t>
  </si>
  <si>
    <t>Продолжительность горения 1 э/лампы в подвале в год</t>
  </si>
  <si>
    <t>Нормативная продолжительность горения 1 э/лампы в подвале в сутки</t>
  </si>
  <si>
    <t>Общий расход э/энергии на подъезды, лестничные клетки и подвалы в год</t>
  </si>
  <si>
    <t>Количество э/ламп в год</t>
  </si>
  <si>
    <t>5 месяцев в летний период по 8 часов в сутки</t>
  </si>
  <si>
    <t>7 месяцев в зимний периодпо 13 часов в сутки</t>
  </si>
  <si>
    <t xml:space="preserve">в среднем </t>
  </si>
  <si>
    <t>Длина печного канала, дымохода</t>
  </si>
  <si>
    <t>Стоимость э/ламп в год</t>
  </si>
  <si>
    <t>Стоимость электрических ламп</t>
  </si>
  <si>
    <t xml:space="preserve">Стоимость электроэнергии на освещение в год </t>
  </si>
  <si>
    <t>Кол-во продухов</t>
  </si>
  <si>
    <t>Пушкина,19 Д</t>
  </si>
  <si>
    <t>н./уст.</t>
  </si>
  <si>
    <t>бутовые столбы</t>
  </si>
  <si>
    <t>трещины,осадка</t>
  </si>
  <si>
    <t>бревенчатые</t>
  </si>
  <si>
    <t>трещины, сырость</t>
  </si>
  <si>
    <t>деревянные отепленные</t>
  </si>
  <si>
    <t>трещины</t>
  </si>
  <si>
    <t>железная</t>
  </si>
  <si>
    <t>трещины, неровности</t>
  </si>
  <si>
    <t>щели</t>
  </si>
  <si>
    <t>Деревянные двойные двухстворные глухие</t>
  </si>
  <si>
    <t xml:space="preserve"> трещины,гниль в подоконнике</t>
  </si>
  <si>
    <t>простые</t>
  </si>
  <si>
    <t>штукатурка, окраска. Обшиты тесом, окраш.</t>
  </si>
  <si>
    <t>Трещины, износ окраски. Трещины износ окраски</t>
  </si>
  <si>
    <t>открытая проводка</t>
  </si>
  <si>
    <t xml:space="preserve"> - длина трубопровода, м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</si>
  <si>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</si>
  <si>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</si>
  <si>
    <t>Пушкина,19/1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</si>
</sst>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93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Times New Roman Cyr"/>
      <family val="1"/>
    </font>
    <font>
      <sz val="9"/>
      <color indexed="17"/>
      <name val="Times New Roman Cyr"/>
      <family val="1"/>
    </font>
    <font>
      <sz val="9"/>
      <color indexed="12"/>
      <name val="Times New Roman Cyr"/>
      <family val="1"/>
    </font>
    <font>
      <b/>
      <sz val="10"/>
      <color indexed="14"/>
      <name val="Times New Roman Cyr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0"/>
      <color indexed="14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b/>
      <sz val="18"/>
      <color indexed="12"/>
      <name val="Times New Roman Cyr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  <font>
      <sz val="10"/>
      <color indexed="12"/>
      <name val="Arial Cyr"/>
      <family val="0"/>
    </font>
    <font>
      <b/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7" borderId="7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1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 indent="2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/>
    </xf>
    <xf numFmtId="49" fontId="8" fillId="32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1" fontId="12" fillId="0" borderId="20" xfId="0" applyNumberFormat="1" applyFont="1" applyBorder="1" applyAlignment="1">
      <alignment vertical="center" wrapText="1"/>
    </xf>
    <xf numFmtId="0" fontId="12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1" fontId="12" fillId="0" borderId="16" xfId="0" applyNumberFormat="1" applyFont="1" applyBorder="1" applyAlignment="1">
      <alignment vertical="center" wrapText="1"/>
    </xf>
    <xf numFmtId="2" fontId="13" fillId="0" borderId="0" xfId="58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4" fillId="0" borderId="16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164" fontId="12" fillId="0" borderId="16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1" fontId="11" fillId="33" borderId="15" xfId="0" applyNumberFormat="1" applyFont="1" applyFill="1" applyBorder="1" applyAlignment="1">
      <alignment vertical="center"/>
    </xf>
    <xf numFmtId="1" fontId="13" fillId="33" borderId="15" xfId="58" applyNumberFormat="1" applyFont="1" applyFill="1" applyBorder="1" applyAlignment="1">
      <alignment vertical="center"/>
    </xf>
    <xf numFmtId="1" fontId="13" fillId="33" borderId="15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4" fontId="11" fillId="33" borderId="15" xfId="0" applyNumberFormat="1" applyFont="1" applyFill="1" applyBorder="1" applyAlignment="1">
      <alignment vertical="center"/>
    </xf>
    <xf numFmtId="0" fontId="16" fillId="32" borderId="18" xfId="0" applyFont="1" applyFill="1" applyBorder="1" applyAlignment="1">
      <alignment horizontal="left" vertical="top"/>
    </xf>
    <xf numFmtId="0" fontId="16" fillId="32" borderId="12" xfId="0" applyFont="1" applyFill="1" applyBorder="1" applyAlignment="1">
      <alignment horizontal="center" vertical="top"/>
    </xf>
    <xf numFmtId="0" fontId="16" fillId="32" borderId="19" xfId="0" applyFont="1" applyFill="1" applyBorder="1" applyAlignment="1">
      <alignment horizontal="center" vertical="top"/>
    </xf>
    <xf numFmtId="0" fontId="1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/>
    </xf>
    <xf numFmtId="183" fontId="12" fillId="0" borderId="10" xfId="43" applyNumberFormat="1" applyFont="1" applyBorder="1" applyAlignment="1">
      <alignment vertical="center" wrapText="1"/>
    </xf>
    <xf numFmtId="183" fontId="11" fillId="0" borderId="10" xfId="43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3" fontId="12" fillId="0" borderId="10" xfId="43" applyNumberFormat="1" applyFont="1" applyBorder="1" applyAlignment="1">
      <alignment vertical="center"/>
    </xf>
    <xf numFmtId="183" fontId="11" fillId="0" borderId="10" xfId="43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183" fontId="11" fillId="0" borderId="23" xfId="43" applyNumberFormat="1" applyFont="1" applyBorder="1" applyAlignment="1">
      <alignment vertical="center"/>
    </xf>
    <xf numFmtId="183" fontId="12" fillId="0" borderId="17" xfId="43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4" fontId="12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vertical="center"/>
    </xf>
    <xf numFmtId="183" fontId="21" fillId="0" borderId="17" xfId="43" applyNumberFormat="1" applyFont="1" applyBorder="1" applyAlignment="1">
      <alignment vertical="center"/>
    </xf>
    <xf numFmtId="183" fontId="21" fillId="0" borderId="23" xfId="43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" fontId="21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vertical="center"/>
    </xf>
    <xf numFmtId="183" fontId="14" fillId="0" borderId="17" xfId="43" applyNumberFormat="1" applyFont="1" applyBorder="1" applyAlignment="1">
      <alignment vertical="center"/>
    </xf>
    <xf numFmtId="183" fontId="14" fillId="0" borderId="23" xfId="43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/>
    </xf>
    <xf numFmtId="2" fontId="11" fillId="34" borderId="21" xfId="0" applyNumberFormat="1" applyFont="1" applyFill="1" applyBorder="1" applyAlignment="1">
      <alignment/>
    </xf>
    <xf numFmtId="1" fontId="11" fillId="34" borderId="2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left" wrapText="1" inden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9" fillId="35" borderId="18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19" fillId="35" borderId="0" xfId="0" applyFont="1" applyFill="1" applyAlignment="1">
      <alignment horizontal="left" indent="2"/>
    </xf>
    <xf numFmtId="0" fontId="12" fillId="35" borderId="0" xfId="0" applyFont="1" applyFill="1" applyAlignment="1">
      <alignment horizontal="left" indent="2"/>
    </xf>
    <xf numFmtId="0" fontId="25" fillId="10" borderId="10" xfId="0" applyFont="1" applyFill="1" applyBorder="1" applyAlignment="1">
      <alignment/>
    </xf>
    <xf numFmtId="0" fontId="9" fillId="32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1" fontId="13" fillId="33" borderId="17" xfId="58" applyNumberFormat="1" applyFont="1" applyFill="1" applyBorder="1" applyAlignment="1">
      <alignment vertical="center"/>
    </xf>
    <xf numFmtId="1" fontId="13" fillId="33" borderId="17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" fontId="13" fillId="0" borderId="21" xfId="58" applyNumberFormat="1" applyFont="1" applyFill="1" applyBorder="1" applyAlignment="1">
      <alignment vertical="center"/>
    </xf>
    <xf numFmtId="1" fontId="13" fillId="0" borderId="24" xfId="0" applyNumberFormat="1" applyFont="1" applyFill="1" applyBorder="1" applyAlignment="1">
      <alignment vertical="center"/>
    </xf>
    <xf numFmtId="1" fontId="13" fillId="0" borderId="0" xfId="58" applyNumberFormat="1" applyFont="1" applyFill="1" applyBorder="1" applyAlignment="1">
      <alignment vertical="center"/>
    </xf>
    <xf numFmtId="1" fontId="13" fillId="0" borderId="22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/>
    </xf>
    <xf numFmtId="1" fontId="13" fillId="0" borderId="11" xfId="58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wrapText="1"/>
    </xf>
    <xf numFmtId="164" fontId="12" fillId="0" borderId="13" xfId="58" applyNumberFormat="1" applyFont="1" applyFill="1" applyBorder="1" applyAlignment="1">
      <alignment vertical="center"/>
    </xf>
    <xf numFmtId="164" fontId="12" fillId="0" borderId="16" xfId="58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wrapText="1" indent="1"/>
    </xf>
    <xf numFmtId="0" fontId="12" fillId="0" borderId="14" xfId="0" applyFont="1" applyBorder="1" applyAlignment="1">
      <alignment horizont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174" fontId="12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4" borderId="10" xfId="0" applyNumberFormat="1" applyFont="1" applyFill="1" applyBorder="1" applyAlignment="1">
      <alignment/>
    </xf>
    <xf numFmtId="1" fontId="3" fillId="4" borderId="17" xfId="0" applyNumberFormat="1" applyFont="1" applyFill="1" applyBorder="1" applyAlignment="1">
      <alignment/>
    </xf>
    <xf numFmtId="1" fontId="3" fillId="4" borderId="20" xfId="0" applyNumberFormat="1" applyFont="1" applyFill="1" applyBorder="1" applyAlignment="1">
      <alignment/>
    </xf>
    <xf numFmtId="0" fontId="3" fillId="4" borderId="1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6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182" fontId="9" fillId="5" borderId="10" xfId="43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/>
    </xf>
    <xf numFmtId="182" fontId="9" fillId="35" borderId="10" xfId="0" applyNumberFormat="1" applyFont="1" applyFill="1" applyBorder="1" applyAlignment="1">
      <alignment/>
    </xf>
    <xf numFmtId="43" fontId="9" fillId="35" borderId="10" xfId="0" applyNumberFormat="1" applyFont="1" applyFill="1" applyBorder="1" applyAlignment="1">
      <alignment/>
    </xf>
    <xf numFmtId="182" fontId="9" fillId="34" borderId="10" xfId="0" applyNumberFormat="1" applyFont="1" applyFill="1" applyBorder="1" applyAlignment="1">
      <alignment horizontal="center" vertical="top" wrapText="1"/>
    </xf>
    <xf numFmtId="43" fontId="9" fillId="34" borderId="10" xfId="0" applyNumberFormat="1" applyFont="1" applyFill="1" applyBorder="1" applyAlignment="1">
      <alignment/>
    </xf>
    <xf numFmtId="182" fontId="9" fillId="4" borderId="10" xfId="0" applyNumberFormat="1" applyFont="1" applyFill="1" applyBorder="1" applyAlignment="1">
      <alignment/>
    </xf>
    <xf numFmtId="43" fontId="9" fillId="4" borderId="10" xfId="0" applyNumberFormat="1" applyFont="1" applyFill="1" applyBorder="1" applyAlignment="1">
      <alignment/>
    </xf>
    <xf numFmtId="182" fontId="9" fillId="33" borderId="10" xfId="0" applyNumberFormat="1" applyFont="1" applyFill="1" applyBorder="1" applyAlignment="1">
      <alignment horizontal="center" vertical="top" wrapText="1"/>
    </xf>
    <xf numFmtId="43" fontId="9" fillId="5" borderId="10" xfId="43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1" fillId="0" borderId="12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/>
    </xf>
    <xf numFmtId="0" fontId="19" fillId="35" borderId="18" xfId="0" applyFont="1" applyFill="1" applyBorder="1" applyAlignment="1">
      <alignment horizontal="left" indent="2"/>
    </xf>
    <xf numFmtId="0" fontId="12" fillId="35" borderId="12" xfId="0" applyFont="1" applyFill="1" applyBorder="1" applyAlignment="1">
      <alignment horizontal="left" indent="2"/>
    </xf>
    <xf numFmtId="0" fontId="12" fillId="35" borderId="19" xfId="0" applyFont="1" applyFill="1" applyBorder="1" applyAlignment="1">
      <alignment horizontal="left" indent="2"/>
    </xf>
    <xf numFmtId="0" fontId="4" fillId="32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12" fillId="35" borderId="15" xfId="0" applyFont="1" applyFill="1" applyBorder="1" applyAlignment="1">
      <alignment horizontal="center" wrapText="1"/>
    </xf>
    <xf numFmtId="1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wrapText="1"/>
    </xf>
    <xf numFmtId="1" fontId="11" fillId="35" borderId="19" xfId="0" applyNumberFormat="1" applyFont="1" applyFill="1" applyBorder="1" applyAlignment="1">
      <alignment wrapText="1"/>
    </xf>
    <xf numFmtId="1" fontId="11" fillId="35" borderId="1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1" fontId="11" fillId="0" borderId="24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wrapText="1"/>
    </xf>
    <xf numFmtId="1" fontId="11" fillId="0" borderId="2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" fontId="24" fillId="0" borderId="0" xfId="0" applyNumberFormat="1" applyFont="1" applyBorder="1" applyAlignment="1">
      <alignment wrapText="1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16" xfId="0" applyFont="1" applyFill="1" applyBorder="1" applyAlignment="1">
      <alignment horizontal="left" wrapText="1" indent="1"/>
    </xf>
    <xf numFmtId="0" fontId="12" fillId="0" borderId="16" xfId="0" applyFont="1" applyFill="1" applyBorder="1" applyAlignment="1">
      <alignment horizontal="center" wrapText="1"/>
    </xf>
    <xf numFmtId="2" fontId="12" fillId="0" borderId="22" xfId="0" applyNumberFormat="1" applyFont="1" applyBorder="1" applyAlignment="1">
      <alignment/>
    </xf>
    <xf numFmtId="1" fontId="12" fillId="0" borderId="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23" xfId="0" applyFont="1" applyBorder="1" applyAlignment="1">
      <alignment/>
    </xf>
    <xf numFmtId="2" fontId="11" fillId="0" borderId="22" xfId="0" applyNumberFormat="1" applyFont="1" applyBorder="1" applyAlignment="1">
      <alignment/>
    </xf>
    <xf numFmtId="2" fontId="12" fillId="34" borderId="12" xfId="0" applyNumberFormat="1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4" xfId="0" applyFont="1" applyBorder="1" applyAlignment="1">
      <alignment/>
    </xf>
    <xf numFmtId="1" fontId="11" fillId="0" borderId="16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24" xfId="0" applyNumberFormat="1" applyFont="1" applyBorder="1" applyAlignment="1">
      <alignment/>
    </xf>
    <xf numFmtId="1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1" fontId="13" fillId="0" borderId="22" xfId="0" applyNumberFormat="1" applyFont="1" applyBorder="1" applyAlignment="1">
      <alignment/>
    </xf>
    <xf numFmtId="2" fontId="12" fillId="0" borderId="22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2" fontId="12" fillId="0" borderId="23" xfId="0" applyNumberFormat="1" applyFont="1" applyBorder="1" applyAlignment="1">
      <alignment wrapText="1"/>
    </xf>
    <xf numFmtId="1" fontId="12" fillId="0" borderId="11" xfId="0" applyNumberFormat="1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" fontId="12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23" xfId="0" applyNumberFormat="1" applyFont="1" applyBorder="1" applyAlignment="1">
      <alignment/>
    </xf>
    <xf numFmtId="0" fontId="11" fillId="34" borderId="18" xfId="0" applyFont="1" applyFill="1" applyBorder="1" applyAlignment="1">
      <alignment/>
    </xf>
    <xf numFmtId="1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9" fillId="33" borderId="18" xfId="0" applyFont="1" applyFill="1" applyBorder="1" applyAlignment="1">
      <alignment vertical="top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1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12" fillId="0" borderId="16" xfId="0" applyFont="1" applyFill="1" applyBorder="1" applyAlignment="1">
      <alignment horizontal="left" wrapText="1"/>
    </xf>
    <xf numFmtId="1" fontId="30" fillId="0" borderId="0" xfId="0" applyNumberFormat="1" applyFont="1" applyBorder="1" applyAlignment="1">
      <alignment wrapText="1"/>
    </xf>
    <xf numFmtId="1" fontId="12" fillId="0" borderId="22" xfId="0" applyNumberFormat="1" applyFont="1" applyBorder="1" applyAlignment="1">
      <alignment wrapText="1"/>
    </xf>
    <xf numFmtId="1" fontId="14" fillId="0" borderId="0" xfId="0" applyNumberFormat="1" applyFont="1" applyBorder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" fontId="11" fillId="33" borderId="10" xfId="0" applyNumberFormat="1" applyFont="1" applyFill="1" applyBorder="1" applyAlignment="1">
      <alignment vertical="center"/>
    </xf>
    <xf numFmtId="2" fontId="11" fillId="33" borderId="17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wrapText="1"/>
    </xf>
    <xf numFmtId="1" fontId="11" fillId="0" borderId="20" xfId="0" applyNumberFormat="1" applyFont="1" applyBorder="1" applyAlignment="1">
      <alignment wrapText="1"/>
    </xf>
    <xf numFmtId="1" fontId="12" fillId="0" borderId="20" xfId="0" applyNumberFormat="1" applyFont="1" applyBorder="1" applyAlignment="1">
      <alignment wrapText="1"/>
    </xf>
    <xf numFmtId="1" fontId="11" fillId="0" borderId="17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/>
    </xf>
    <xf numFmtId="1" fontId="11" fillId="0" borderId="20" xfId="0" applyNumberFormat="1" applyFont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wrapText="1"/>
    </xf>
    <xf numFmtId="1" fontId="13" fillId="0" borderId="0" xfId="58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1" fillId="33" borderId="12" xfId="0" applyNumberFormat="1" applyFont="1" applyFill="1" applyBorder="1" applyAlignment="1">
      <alignment/>
    </xf>
    <xf numFmtId="2" fontId="11" fillId="4" borderId="12" xfId="0" applyNumberFormat="1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1" fontId="11" fillId="4" borderId="12" xfId="0" applyNumberFormat="1" applyFont="1" applyFill="1" applyBorder="1" applyAlignment="1">
      <alignment/>
    </xf>
    <xf numFmtId="0" fontId="12" fillId="4" borderId="10" xfId="0" applyFont="1" applyFill="1" applyBorder="1" applyAlignment="1">
      <alignment/>
    </xf>
    <xf numFmtId="1" fontId="11" fillId="4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11" fillId="4" borderId="10" xfId="0" applyNumberFormat="1" applyFont="1" applyFill="1" applyBorder="1" applyAlignment="1">
      <alignment wrapText="1"/>
    </xf>
    <xf numFmtId="1" fontId="11" fillId="4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11" fillId="35" borderId="1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2" fontId="11" fillId="34" borderId="10" xfId="0" applyNumberFormat="1" applyFont="1" applyFill="1" applyBorder="1" applyAlignment="1">
      <alignment wrapText="1"/>
    </xf>
    <xf numFmtId="1" fontId="11" fillId="34" borderId="10" xfId="0" applyNumberFormat="1" applyFont="1" applyFill="1" applyBorder="1" applyAlignment="1">
      <alignment wrapText="1"/>
    </xf>
    <xf numFmtId="0" fontId="11" fillId="3" borderId="10" xfId="0" applyFont="1" applyFill="1" applyBorder="1" applyAlignment="1">
      <alignment horizontal="center" wrapText="1"/>
    </xf>
    <xf numFmtId="1" fontId="11" fillId="3" borderId="10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center"/>
    </xf>
    <xf numFmtId="1" fontId="11" fillId="5" borderId="10" xfId="0" applyNumberFormat="1" applyFont="1" applyFill="1" applyBorder="1" applyAlignment="1">
      <alignment/>
    </xf>
    <xf numFmtId="0" fontId="26" fillId="33" borderId="18" xfId="0" applyFont="1" applyFill="1" applyBorder="1" applyAlignment="1">
      <alignment vertical="top"/>
    </xf>
    <xf numFmtId="0" fontId="26" fillId="4" borderId="18" xfId="0" applyFont="1" applyFill="1" applyBorder="1" applyAlignment="1">
      <alignment vertical="top"/>
    </xf>
    <xf numFmtId="1" fontId="11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6" fillId="35" borderId="10" xfId="0" applyFont="1" applyFill="1" applyBorder="1" applyAlignment="1">
      <alignment vertical="top"/>
    </xf>
    <xf numFmtId="0" fontId="12" fillId="35" borderId="10" xfId="0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1" fontId="26" fillId="34" borderId="10" xfId="0" applyNumberFormat="1" applyFont="1" applyFill="1" applyBorder="1" applyAlignment="1">
      <alignment vertical="top"/>
    </xf>
    <xf numFmtId="1" fontId="26" fillId="35" borderId="10" xfId="0" applyNumberFormat="1" applyFont="1" applyFill="1" applyBorder="1" applyAlignment="1">
      <alignment vertical="top"/>
    </xf>
    <xf numFmtId="0" fontId="12" fillId="35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26" fillId="34" borderId="15" xfId="0" applyFont="1" applyFill="1" applyBorder="1" applyAlignment="1">
      <alignment vertical="top"/>
    </xf>
    <xf numFmtId="1" fontId="26" fillId="34" borderId="15" xfId="0" applyNumberFormat="1" applyFont="1" applyFill="1" applyBorder="1" applyAlignment="1">
      <alignment vertical="top"/>
    </xf>
    <xf numFmtId="1" fontId="12" fillId="0" borderId="21" xfId="0" applyNumberFormat="1" applyFont="1" applyBorder="1" applyAlignment="1">
      <alignment/>
    </xf>
    <xf numFmtId="0" fontId="12" fillId="0" borderId="14" xfId="0" applyFont="1" applyBorder="1" applyAlignment="1">
      <alignment/>
    </xf>
    <xf numFmtId="1" fontId="11" fillId="0" borderId="11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35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11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1" fontId="12" fillId="32" borderId="0" xfId="0" applyNumberFormat="1" applyFont="1" applyFill="1" applyAlignment="1">
      <alignment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186" fontId="12" fillId="32" borderId="0" xfId="0" applyNumberFormat="1" applyFont="1" applyFill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" fontId="12" fillId="0" borderId="13" xfId="0" applyNumberFormat="1" applyFont="1" applyBorder="1" applyAlignment="1">
      <alignment wrapText="1"/>
    </xf>
    <xf numFmtId="1" fontId="12" fillId="0" borderId="16" xfId="0" applyNumberFormat="1" applyFont="1" applyBorder="1" applyAlignment="1">
      <alignment wrapText="1"/>
    </xf>
    <xf numFmtId="1" fontId="12" fillId="0" borderId="14" xfId="0" applyNumberFormat="1" applyFont="1" applyBorder="1" applyAlignment="1">
      <alignment wrapText="1"/>
    </xf>
    <xf numFmtId="1" fontId="12" fillId="0" borderId="15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83" fontId="11" fillId="0" borderId="19" xfId="43" applyNumberFormat="1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183" fontId="11" fillId="0" borderId="11" xfId="43" applyNumberFormat="1" applyFont="1" applyBorder="1" applyAlignment="1">
      <alignment vertical="center"/>
    </xf>
    <xf numFmtId="183" fontId="11" fillId="0" borderId="0" xfId="43" applyNumberFormat="1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2" xfId="0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wrapText="1" inden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4" xfId="0" applyFill="1" applyBorder="1" applyAlignment="1">
      <alignment/>
    </xf>
    <xf numFmtId="1" fontId="3" fillId="4" borderId="24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 indent="1"/>
    </xf>
    <xf numFmtId="0" fontId="26" fillId="33" borderId="15" xfId="0" applyFont="1" applyFill="1" applyBorder="1" applyAlignment="1">
      <alignment vertical="top"/>
    </xf>
    <xf numFmtId="0" fontId="0" fillId="33" borderId="15" xfId="0" applyFill="1" applyBorder="1" applyAlignment="1">
      <alignment/>
    </xf>
    <xf numFmtId="1" fontId="3" fillId="33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26" fillId="4" borderId="15" xfId="0" applyFont="1" applyFill="1" applyBorder="1" applyAlignment="1">
      <alignment vertical="top"/>
    </xf>
    <xf numFmtId="0" fontId="0" fillId="4" borderId="15" xfId="0" applyFill="1" applyBorder="1" applyAlignment="1">
      <alignment/>
    </xf>
    <xf numFmtId="1" fontId="3" fillId="4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26" fillId="35" borderId="2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1" fontId="4" fillId="0" borderId="20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5" fillId="32" borderId="0" xfId="0" applyFont="1" applyFill="1" applyAlignment="1">
      <alignment/>
    </xf>
    <xf numFmtId="0" fontId="12" fillId="0" borderId="17" xfId="0" applyFont="1" applyBorder="1" applyAlignment="1">
      <alignment/>
    </xf>
    <xf numFmtId="0" fontId="36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43" fontId="4" fillId="0" borderId="16" xfId="43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3" fontId="4" fillId="0" borderId="13" xfId="43" applyNumberFormat="1" applyFont="1" applyFill="1" applyBorder="1" applyAlignment="1">
      <alignment/>
    </xf>
    <xf numFmtId="43" fontId="4" fillId="0" borderId="14" xfId="43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right"/>
    </xf>
    <xf numFmtId="2" fontId="11" fillId="33" borderId="18" xfId="0" applyNumberFormat="1" applyFont="1" applyFill="1" applyBorder="1" applyAlignment="1">
      <alignment wrapText="1"/>
    </xf>
    <xf numFmtId="2" fontId="12" fillId="0" borderId="20" xfId="0" applyNumberFormat="1" applyFont="1" applyFill="1" applyBorder="1" applyAlignment="1">
      <alignment/>
    </xf>
    <xf numFmtId="2" fontId="3" fillId="5" borderId="10" xfId="0" applyNumberFormat="1" applyFont="1" applyFill="1" applyBorder="1" applyAlignment="1">
      <alignment vertical="center" wrapText="1"/>
    </xf>
    <xf numFmtId="0" fontId="30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30" fillId="0" borderId="22" xfId="0" applyFont="1" applyFill="1" applyBorder="1" applyAlignment="1">
      <alignment horizontal="center" vertical="center" wrapText="1"/>
    </xf>
    <xf numFmtId="1" fontId="24" fillId="0" borderId="21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1" xfId="0" applyFont="1" applyBorder="1" applyAlignment="1">
      <alignment/>
    </xf>
    <xf numFmtId="0" fontId="30" fillId="0" borderId="11" xfId="0" applyFont="1" applyBorder="1" applyAlignment="1">
      <alignment/>
    </xf>
    <xf numFmtId="0" fontId="30" fillId="34" borderId="10" xfId="0" applyFont="1" applyFill="1" applyBorder="1" applyAlignment="1">
      <alignment/>
    </xf>
    <xf numFmtId="0" fontId="30" fillId="0" borderId="0" xfId="0" applyFont="1" applyAlignment="1">
      <alignment/>
    </xf>
    <xf numFmtId="0" fontId="30" fillId="35" borderId="10" xfId="0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174" fontId="11" fillId="0" borderId="0" xfId="0" applyNumberFormat="1" applyFont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5" borderId="18" xfId="0" applyFont="1" applyFill="1" applyBorder="1" applyAlignment="1">
      <alignment horizontal="left" wrapText="1"/>
    </xf>
    <xf numFmtId="0" fontId="12" fillId="5" borderId="12" xfId="0" applyFont="1" applyFill="1" applyBorder="1" applyAlignment="1">
      <alignment horizontal="left" wrapText="1"/>
    </xf>
    <xf numFmtId="1" fontId="11" fillId="5" borderId="12" xfId="0" applyNumberFormat="1" applyFont="1" applyFill="1" applyBorder="1" applyAlignment="1">
      <alignment wrapText="1"/>
    </xf>
    <xf numFmtId="0" fontId="15" fillId="5" borderId="12" xfId="0" applyFont="1" applyFill="1" applyBorder="1" applyAlignment="1">
      <alignment horizontal="left" wrapText="1"/>
    </xf>
    <xf numFmtId="1" fontId="12" fillId="5" borderId="12" xfId="0" applyNumberFormat="1" applyFont="1" applyFill="1" applyBorder="1" applyAlignment="1">
      <alignment wrapText="1"/>
    </xf>
    <xf numFmtId="1" fontId="11" fillId="5" borderId="12" xfId="0" applyNumberFormat="1" applyFont="1" applyFill="1" applyBorder="1" applyAlignment="1">
      <alignment/>
    </xf>
    <xf numFmtId="43" fontId="9" fillId="33" borderId="10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0" fontId="3" fillId="5" borderId="21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43" fontId="3" fillId="5" borderId="18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182" fontId="3" fillId="5" borderId="10" xfId="0" applyNumberFormat="1" applyFont="1" applyFill="1" applyBorder="1" applyAlignment="1">
      <alignment horizontal="center"/>
    </xf>
    <xf numFmtId="182" fontId="3" fillId="5" borderId="10" xfId="0" applyNumberFormat="1" applyFont="1" applyFill="1" applyBorder="1" applyAlignment="1">
      <alignment vertical="center" wrapText="1"/>
    </xf>
    <xf numFmtId="182" fontId="3" fillId="5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3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6" fillId="32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38" fillId="0" borderId="16" xfId="0" applyFont="1" applyFill="1" applyBorder="1" applyAlignment="1">
      <alignment horizontal="center" wrapText="1"/>
    </xf>
    <xf numFmtId="0" fontId="27" fillId="32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/>
    </xf>
    <xf numFmtId="0" fontId="37" fillId="0" borderId="22" xfId="0" applyFont="1" applyFill="1" applyBorder="1" applyAlignment="1">
      <alignment horizontal="left" vertical="top" wrapText="1"/>
    </xf>
    <xf numFmtId="1" fontId="12" fillId="0" borderId="16" xfId="58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1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173" fontId="12" fillId="0" borderId="0" xfId="0" applyNumberFormat="1" applyFont="1" applyFill="1" applyBorder="1" applyAlignment="1">
      <alignment wrapText="1"/>
    </xf>
    <xf numFmtId="0" fontId="11" fillId="32" borderId="0" xfId="0" applyFont="1" applyFill="1" applyBorder="1" applyAlignment="1">
      <alignment/>
    </xf>
    <xf numFmtId="0" fontId="11" fillId="0" borderId="18" xfId="0" applyFont="1" applyBorder="1" applyAlignment="1">
      <alignment/>
    </xf>
    <xf numFmtId="2" fontId="11" fillId="32" borderId="10" xfId="0" applyNumberFormat="1" applyFont="1" applyFill="1" applyBorder="1" applyAlignment="1">
      <alignment/>
    </xf>
    <xf numFmtId="0" fontId="9" fillId="4" borderId="13" xfId="0" applyFont="1" applyFill="1" applyBorder="1" applyAlignment="1">
      <alignment vertical="top"/>
    </xf>
    <xf numFmtId="0" fontId="9" fillId="4" borderId="21" xfId="0" applyFont="1" applyFill="1" applyBorder="1" applyAlignment="1">
      <alignment vertical="top"/>
    </xf>
    <xf numFmtId="0" fontId="9" fillId="4" borderId="12" xfId="0" applyFont="1" applyFill="1" applyBorder="1" applyAlignment="1">
      <alignment vertical="top"/>
    </xf>
    <xf numFmtId="0" fontId="9" fillId="4" borderId="19" xfId="0" applyFont="1" applyFill="1" applyBorder="1" applyAlignment="1">
      <alignment vertical="top"/>
    </xf>
    <xf numFmtId="0" fontId="9" fillId="35" borderId="14" xfId="0" applyFont="1" applyFill="1" applyBorder="1" applyAlignment="1">
      <alignment vertical="top"/>
    </xf>
    <xf numFmtId="0" fontId="9" fillId="35" borderId="11" xfId="0" applyFont="1" applyFill="1" applyBorder="1" applyAlignment="1">
      <alignment vertical="top"/>
    </xf>
    <xf numFmtId="0" fontId="9" fillId="35" borderId="12" xfId="0" applyFont="1" applyFill="1" applyBorder="1" applyAlignment="1">
      <alignment vertical="top"/>
    </xf>
    <xf numFmtId="0" fontId="9" fillId="35" borderId="19" xfId="0" applyFont="1" applyFill="1" applyBorder="1" applyAlignment="1">
      <alignment vertical="top"/>
    </xf>
    <xf numFmtId="0" fontId="9" fillId="34" borderId="12" xfId="0" applyFont="1" applyFill="1" applyBorder="1" applyAlignment="1">
      <alignment horizontal="center" vertical="top"/>
    </xf>
    <xf numFmtId="0" fontId="9" fillId="34" borderId="19" xfId="0" applyFont="1" applyFill="1" applyBorder="1" applyAlignment="1">
      <alignment horizontal="center" vertical="top"/>
    </xf>
    <xf numFmtId="0" fontId="9" fillId="5" borderId="18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9" fillId="34" borderId="18" xfId="0" applyFont="1" applyFill="1" applyBorder="1" applyAlignment="1">
      <alignment vertical="top"/>
    </xf>
    <xf numFmtId="0" fontId="11" fillId="34" borderId="14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11" fillId="37" borderId="18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wrapText="1"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1" fontId="12" fillId="34" borderId="17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3"/>
    </xf>
    <xf numFmtId="0" fontId="4" fillId="0" borderId="0" xfId="0" applyFont="1" applyFill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/>
    </xf>
    <xf numFmtId="2" fontId="11" fillId="3" borderId="10" xfId="0" applyNumberFormat="1" applyFont="1" applyFill="1" applyBorder="1" applyAlignment="1">
      <alignment wrapText="1"/>
    </xf>
    <xf numFmtId="2" fontId="11" fillId="5" borderId="12" xfId="0" applyNumberFormat="1" applyFont="1" applyFill="1" applyBorder="1" applyAlignment="1">
      <alignment/>
    </xf>
    <xf numFmtId="2" fontId="11" fillId="5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 wrapText="1"/>
    </xf>
    <xf numFmtId="1" fontId="11" fillId="33" borderId="18" xfId="0" applyNumberFormat="1" applyFont="1" applyFill="1" applyBorder="1" applyAlignment="1">
      <alignment horizontal="center" vertical="center" wrapText="1"/>
    </xf>
    <xf numFmtId="1" fontId="11" fillId="4" borderId="18" xfId="0" applyNumberFormat="1" applyFont="1" applyFill="1" applyBorder="1" applyAlignment="1">
      <alignment/>
    </xf>
    <xf numFmtId="1" fontId="26" fillId="34" borderId="13" xfId="0" applyNumberFormat="1" applyFont="1" applyFill="1" applyBorder="1" applyAlignment="1">
      <alignment vertical="top"/>
    </xf>
    <xf numFmtId="2" fontId="12" fillId="0" borderId="16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12" fillId="0" borderId="23" xfId="0" applyFont="1" applyBorder="1" applyAlignment="1">
      <alignment/>
    </xf>
    <xf numFmtId="164" fontId="11" fillId="0" borderId="21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1" fontId="11" fillId="0" borderId="15" xfId="0" applyNumberFormat="1" applyFont="1" applyBorder="1" applyAlignment="1">
      <alignment wrapText="1"/>
    </xf>
    <xf numFmtId="174" fontId="12" fillId="0" borderId="0" xfId="0" applyNumberFormat="1" applyFont="1" applyBorder="1" applyAlignment="1">
      <alignment wrapTex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64" fontId="12" fillId="0" borderId="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Fill="1" applyBorder="1" applyAlignment="1">
      <alignment horizontal="left" indent="5"/>
    </xf>
    <xf numFmtId="0" fontId="11" fillId="0" borderId="17" xfId="0" applyFont="1" applyBorder="1" applyAlignment="1">
      <alignment horizontal="center" vertical="center" wrapText="1"/>
    </xf>
    <xf numFmtId="0" fontId="11" fillId="5" borderId="18" xfId="0" applyFont="1" applyFill="1" applyBorder="1" applyAlignment="1">
      <alignment/>
    </xf>
    <xf numFmtId="0" fontId="11" fillId="5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2" fillId="5" borderId="19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2" fontId="38" fillId="0" borderId="22" xfId="0" applyNumberFormat="1" applyFont="1" applyFill="1" applyBorder="1" applyAlignment="1">
      <alignment horizontal="center" vertical="top"/>
    </xf>
    <xf numFmtId="0" fontId="44" fillId="0" borderId="0" xfId="0" applyFont="1" applyAlignment="1">
      <alignment/>
    </xf>
    <xf numFmtId="174" fontId="11" fillId="35" borderId="10" xfId="0" applyNumberFormat="1" applyFont="1" applyFill="1" applyBorder="1" applyAlignment="1">
      <alignment horizontal="center" wrapText="1"/>
    </xf>
    <xf numFmtId="174" fontId="11" fillId="0" borderId="22" xfId="0" applyNumberFormat="1" applyFont="1" applyBorder="1" applyAlignment="1">
      <alignment/>
    </xf>
    <xf numFmtId="174" fontId="12" fillId="0" borderId="22" xfId="0" applyNumberFormat="1" applyFont="1" applyBorder="1" applyAlignment="1">
      <alignment/>
    </xf>
    <xf numFmtId="174" fontId="11" fillId="34" borderId="10" xfId="0" applyNumberFormat="1" applyFont="1" applyFill="1" applyBorder="1" applyAlignment="1">
      <alignment/>
    </xf>
    <xf numFmtId="174" fontId="11" fillId="0" borderId="16" xfId="0" applyNumberFormat="1" applyFont="1" applyBorder="1" applyAlignment="1">
      <alignment/>
    </xf>
    <xf numFmtId="174" fontId="12" fillId="0" borderId="16" xfId="0" applyNumberFormat="1" applyFont="1" applyBorder="1" applyAlignment="1">
      <alignment/>
    </xf>
    <xf numFmtId="174" fontId="12" fillId="0" borderId="14" xfId="0" applyNumberFormat="1" applyFont="1" applyBorder="1" applyAlignment="1">
      <alignment/>
    </xf>
    <xf numFmtId="174" fontId="12" fillId="32" borderId="0" xfId="0" applyNumberFormat="1" applyFont="1" applyFill="1" applyAlignment="1">
      <alignment/>
    </xf>
    <xf numFmtId="174" fontId="26" fillId="34" borderId="15" xfId="0" applyNumberFormat="1" applyFont="1" applyFill="1" applyBorder="1" applyAlignment="1">
      <alignment vertical="top"/>
    </xf>
    <xf numFmtId="174" fontId="12" fillId="0" borderId="13" xfId="0" applyNumberFormat="1" applyFont="1" applyBorder="1" applyAlignment="1">
      <alignment/>
    </xf>
    <xf numFmtId="164" fontId="11" fillId="35" borderId="15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1" fontId="26" fillId="36" borderId="1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43" fillId="38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43" fillId="38" borderId="17" xfId="0" applyFont="1" applyFill="1" applyBorder="1" applyAlignment="1">
      <alignment/>
    </xf>
    <xf numFmtId="0" fontId="43" fillId="38" borderId="2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186" fontId="45" fillId="32" borderId="19" xfId="0" applyNumberFormat="1" applyFont="1" applyFill="1" applyBorder="1" applyAlignment="1">
      <alignment/>
    </xf>
    <xf numFmtId="0" fontId="26" fillId="37" borderId="18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2" fontId="26" fillId="37" borderId="10" xfId="0" applyNumberFormat="1" applyFont="1" applyFill="1" applyBorder="1" applyAlignment="1">
      <alignment/>
    </xf>
    <xf numFmtId="0" fontId="26" fillId="34" borderId="18" xfId="0" applyFont="1" applyFill="1" applyBorder="1" applyAlignment="1">
      <alignment/>
    </xf>
    <xf numFmtId="0" fontId="26" fillId="34" borderId="15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0" borderId="17" xfId="0" applyFont="1" applyFill="1" applyBorder="1" applyAlignment="1">
      <alignment wrapText="1"/>
    </xf>
    <xf numFmtId="2" fontId="26" fillId="32" borderId="10" xfId="0" applyNumberFormat="1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43" fillId="32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" vertical="top" wrapText="1"/>
    </xf>
    <xf numFmtId="1" fontId="5" fillId="35" borderId="19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82" fontId="9" fillId="0" borderId="0" xfId="43" applyNumberFormat="1" applyFont="1" applyFill="1" applyBorder="1" applyAlignment="1">
      <alignment horizontal="center"/>
    </xf>
    <xf numFmtId="43" fontId="7" fillId="0" borderId="0" xfId="43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9" fontId="25" fillId="0" borderId="0" xfId="58" applyFont="1" applyFill="1" applyBorder="1" applyAlignment="1">
      <alignment/>
    </xf>
    <xf numFmtId="1" fontId="26" fillId="35" borderId="18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9" fillId="33" borderId="10" xfId="0" applyFont="1" applyFill="1" applyBorder="1" applyAlignment="1">
      <alignment horizontal="left" indent="1"/>
    </xf>
    <xf numFmtId="0" fontId="12" fillId="33" borderId="1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174" fontId="12" fillId="36" borderId="0" xfId="0" applyNumberFormat="1" applyFont="1" applyFill="1" applyAlignment="1">
      <alignment/>
    </xf>
    <xf numFmtId="1" fontId="12" fillId="36" borderId="0" xfId="0" applyNumberFormat="1" applyFont="1" applyFill="1" applyAlignment="1">
      <alignment/>
    </xf>
    <xf numFmtId="0" fontId="11" fillId="36" borderId="0" xfId="0" applyFont="1" applyFill="1" applyAlignment="1">
      <alignment/>
    </xf>
    <xf numFmtId="1" fontId="13" fillId="0" borderId="2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20" xfId="0" applyFont="1" applyBorder="1" applyAlignment="1">
      <alignment horizontal="left" wrapText="1" indent="1"/>
    </xf>
    <xf numFmtId="0" fontId="12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2" fillId="0" borderId="22" xfId="0" applyFont="1" applyBorder="1" applyAlignment="1">
      <alignment/>
    </xf>
    <xf numFmtId="174" fontId="26" fillId="35" borderId="10" xfId="0" applyNumberFormat="1" applyFont="1" applyFill="1" applyBorder="1" applyAlignment="1">
      <alignment vertical="top"/>
    </xf>
    <xf numFmtId="0" fontId="12" fillId="0" borderId="19" xfId="0" applyFont="1" applyBorder="1" applyAlignment="1">
      <alignment/>
    </xf>
    <xf numFmtId="1" fontId="13" fillId="0" borderId="20" xfId="0" applyNumberFormat="1" applyFont="1" applyBorder="1" applyAlignment="1">
      <alignment/>
    </xf>
    <xf numFmtId="174" fontId="12" fillId="0" borderId="16" xfId="0" applyNumberFormat="1" applyFont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center" vertical="top"/>
    </xf>
    <xf numFmtId="1" fontId="38" fillId="0" borderId="23" xfId="0" applyNumberFormat="1" applyFont="1" applyFill="1" applyBorder="1" applyAlignment="1">
      <alignment horizontal="center" vertical="top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left" wrapText="1" indent="3"/>
    </xf>
    <xf numFmtId="0" fontId="12" fillId="0" borderId="0" xfId="0" applyFont="1" applyBorder="1" applyAlignment="1">
      <alignment horizontal="left" wrapText="1" indent="3"/>
    </xf>
    <xf numFmtId="0" fontId="5" fillId="0" borderId="13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9" fontId="5" fillId="33" borderId="10" xfId="0" applyNumberFormat="1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2" fillId="0" borderId="19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indent="5"/>
    </xf>
    <xf numFmtId="0" fontId="4" fillId="0" borderId="24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186" fontId="5" fillId="0" borderId="20" xfId="0" applyNumberFormat="1" applyFont="1" applyBorder="1" applyAlignment="1">
      <alignment horizontal="center" vertical="center" wrapText="1"/>
    </xf>
    <xf numFmtId="43" fontId="9" fillId="4" borderId="12" xfId="0" applyNumberFormat="1" applyFont="1" applyFill="1" applyBorder="1" applyAlignment="1">
      <alignment vertical="top"/>
    </xf>
    <xf numFmtId="43" fontId="4" fillId="0" borderId="15" xfId="43" applyNumberFormat="1" applyFont="1" applyFill="1" applyBorder="1" applyAlignment="1">
      <alignment/>
    </xf>
    <xf numFmtId="43" fontId="4" fillId="0" borderId="20" xfId="43" applyNumberFormat="1" applyFont="1" applyFill="1" applyBorder="1" applyAlignment="1">
      <alignment/>
    </xf>
    <xf numFmtId="43" fontId="4" fillId="0" borderId="17" xfId="43" applyNumberFormat="1" applyFont="1" applyFill="1" applyBorder="1" applyAlignment="1">
      <alignment/>
    </xf>
    <xf numFmtId="43" fontId="9" fillId="35" borderId="11" xfId="0" applyNumberFormat="1" applyFont="1" applyFill="1" applyBorder="1" applyAlignment="1">
      <alignment vertical="top"/>
    </xf>
    <xf numFmtId="43" fontId="4" fillId="0" borderId="22" xfId="43" applyNumberFormat="1" applyFont="1" applyFill="1" applyBorder="1" applyAlignment="1">
      <alignment/>
    </xf>
    <xf numFmtId="43" fontId="9" fillId="34" borderId="12" xfId="0" applyNumberFormat="1" applyFont="1" applyFill="1" applyBorder="1" applyAlignment="1">
      <alignment horizontal="center" vertical="top"/>
    </xf>
    <xf numFmtId="43" fontId="9" fillId="5" borderId="12" xfId="0" applyNumberFormat="1" applyFont="1" applyFill="1" applyBorder="1" applyAlignment="1">
      <alignment/>
    </xf>
    <xf numFmtId="43" fontId="9" fillId="0" borderId="0" xfId="43" applyNumberFormat="1" applyFont="1" applyFill="1" applyBorder="1" applyAlignment="1">
      <alignment horizontal="center"/>
    </xf>
    <xf numFmtId="9" fontId="0" fillId="0" borderId="0" xfId="58" applyFont="1" applyAlignment="1">
      <alignment/>
    </xf>
    <xf numFmtId="0" fontId="25" fillId="36" borderId="10" xfId="0" applyFont="1" applyFill="1" applyBorder="1" applyAlignment="1">
      <alignment/>
    </xf>
    <xf numFmtId="164" fontId="25" fillId="36" borderId="10" xfId="0" applyNumberFormat="1" applyFont="1" applyFill="1" applyBorder="1" applyAlignment="1">
      <alignment horizontal="left"/>
    </xf>
    <xf numFmtId="43" fontId="7" fillId="35" borderId="15" xfId="43" applyNumberFormat="1" applyFont="1" applyFill="1" applyBorder="1" applyAlignment="1">
      <alignment/>
    </xf>
    <xf numFmtId="9" fontId="25" fillId="35" borderId="15" xfId="58" applyFont="1" applyFill="1" applyBorder="1" applyAlignment="1">
      <alignment/>
    </xf>
    <xf numFmtId="182" fontId="26" fillId="4" borderId="10" xfId="43" applyNumberFormat="1" applyFont="1" applyFill="1" applyBorder="1" applyAlignment="1">
      <alignment/>
    </xf>
    <xf numFmtId="43" fontId="7" fillId="4" borderId="10" xfId="43" applyNumberFormat="1" applyFont="1" applyFill="1" applyBorder="1" applyAlignment="1">
      <alignment/>
    </xf>
    <xf numFmtId="9" fontId="25" fillId="4" borderId="10" xfId="58" applyFont="1" applyFill="1" applyBorder="1" applyAlignment="1">
      <alignment/>
    </xf>
    <xf numFmtId="0" fontId="9" fillId="38" borderId="10" xfId="0" applyFont="1" applyFill="1" applyBorder="1" applyAlignment="1">
      <alignment/>
    </xf>
    <xf numFmtId="9" fontId="9" fillId="38" borderId="10" xfId="58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0" xfId="0" applyNumberFormat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4" borderId="10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12" xfId="0" applyFont="1" applyFill="1" applyBorder="1" applyAlignment="1">
      <alignment wrapText="1"/>
    </xf>
    <xf numFmtId="0" fontId="52" fillId="33" borderId="19" xfId="0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" fontId="8" fillId="0" borderId="16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/>
    </xf>
    <xf numFmtId="0" fontId="40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/>
    </xf>
    <xf numFmtId="0" fontId="53" fillId="4" borderId="19" xfId="0" applyFont="1" applyFill="1" applyBorder="1" applyAlignment="1">
      <alignment horizontal="center"/>
    </xf>
    <xf numFmtId="0" fontId="54" fillId="38" borderId="10" xfId="0" applyFont="1" applyFill="1" applyBorder="1" applyAlignment="1">
      <alignment/>
    </xf>
    <xf numFmtId="0" fontId="38" fillId="0" borderId="14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3" fontId="9" fillId="5" borderId="10" xfId="43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top"/>
    </xf>
    <xf numFmtId="1" fontId="38" fillId="0" borderId="15" xfId="0" applyNumberFormat="1" applyFont="1" applyFill="1" applyBorder="1" applyAlignment="1">
      <alignment horizontal="center" vertical="top"/>
    </xf>
    <xf numFmtId="1" fontId="5" fillId="35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4" borderId="24" xfId="0" applyFont="1" applyFill="1" applyBorder="1" applyAlignment="1">
      <alignment/>
    </xf>
    <xf numFmtId="0" fontId="41" fillId="4" borderId="23" xfId="0" applyFont="1" applyFill="1" applyBorder="1" applyAlignment="1">
      <alignment/>
    </xf>
    <xf numFmtId="0" fontId="41" fillId="38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40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43" fontId="7" fillId="0" borderId="12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182" fontId="9" fillId="0" borderId="10" xfId="0" applyNumberFormat="1" applyFont="1" applyFill="1" applyBorder="1" applyAlignment="1">
      <alignment horizontal="center" vertical="top" wrapText="1"/>
    </xf>
    <xf numFmtId="43" fontId="9" fillId="0" borderId="10" xfId="0" applyNumberFormat="1" applyFont="1" applyFill="1" applyBorder="1" applyAlignment="1">
      <alignment horizontal="center" vertical="top" wrapText="1"/>
    </xf>
    <xf numFmtId="43" fontId="9" fillId="5" borderId="10" xfId="43" applyNumberFormat="1" applyFont="1" applyFill="1" applyBorder="1" applyAlignment="1">
      <alignment horizontal="center"/>
    </xf>
    <xf numFmtId="43" fontId="7" fillId="5" borderId="10" xfId="43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14" fillId="0" borderId="16" xfId="0" applyFont="1" applyFill="1" applyBorder="1" applyAlignment="1">
      <alignment horizontal="left" wrapText="1"/>
    </xf>
    <xf numFmtId="2" fontId="14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left" wrapText="1"/>
    </xf>
    <xf numFmtId="1" fontId="5" fillId="34" borderId="15" xfId="0" applyNumberFormat="1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3" fillId="38" borderId="12" xfId="0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0" fontId="55" fillId="0" borderId="16" xfId="0" applyFont="1" applyBorder="1" applyAlignment="1">
      <alignment/>
    </xf>
    <xf numFmtId="0" fontId="55" fillId="0" borderId="20" xfId="0" applyFont="1" applyBorder="1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2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5" xfId="0" applyFont="1" applyBorder="1" applyAlignment="1">
      <alignment wrapText="1"/>
    </xf>
    <xf numFmtId="0" fontId="57" fillId="0" borderId="21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20" xfId="0" applyFont="1" applyBorder="1" applyAlignment="1">
      <alignment wrapText="1"/>
    </xf>
    <xf numFmtId="0" fontId="57" fillId="0" borderId="0" xfId="0" applyFont="1" applyBorder="1" applyAlignment="1">
      <alignment horizontal="center"/>
    </xf>
    <xf numFmtId="0" fontId="57" fillId="0" borderId="20" xfId="0" applyFont="1" applyBorder="1" applyAlignment="1">
      <alignment/>
    </xf>
    <xf numFmtId="0" fontId="57" fillId="0" borderId="20" xfId="0" applyFont="1" applyBorder="1" applyAlignment="1">
      <alignment horizontal="left" wrapText="1" indent="1"/>
    </xf>
    <xf numFmtId="1" fontId="57" fillId="0" borderId="2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" fontId="3" fillId="0" borderId="20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1" fontId="3" fillId="4" borderId="10" xfId="0" applyNumberFormat="1" applyFont="1" applyFill="1" applyBorder="1" applyAlignment="1">
      <alignment/>
    </xf>
    <xf numFmtId="164" fontId="55" fillId="3" borderId="20" xfId="0" applyNumberFormat="1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13" fillId="0" borderId="18" xfId="0" applyFont="1" applyBorder="1" applyAlignment="1">
      <alignment/>
    </xf>
    <xf numFmtId="2" fontId="13" fillId="32" borderId="1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14" fillId="0" borderId="0" xfId="0" applyFont="1" applyAlignment="1">
      <alignment/>
    </xf>
    <xf numFmtId="0" fontId="41" fillId="38" borderId="2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" fontId="43" fillId="35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9" fontId="5" fillId="34" borderId="10" xfId="58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wrapText="1"/>
    </xf>
    <xf numFmtId="0" fontId="54" fillId="0" borderId="0" xfId="0" applyFont="1" applyFill="1" applyAlignment="1">
      <alignment/>
    </xf>
    <xf numFmtId="0" fontId="40" fillId="0" borderId="2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74" fontId="11" fillId="0" borderId="15" xfId="0" applyNumberFormat="1" applyFont="1" applyFill="1" applyBorder="1" applyAlignment="1">
      <alignment horizontal="center" vertical="center" wrapText="1"/>
    </xf>
    <xf numFmtId="174" fontId="11" fillId="0" borderId="20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wrapText="1"/>
    </xf>
    <xf numFmtId="0" fontId="11" fillId="35" borderId="0" xfId="0" applyFont="1" applyFill="1" applyBorder="1" applyAlignment="1">
      <alignment wrapText="1"/>
    </xf>
    <xf numFmtId="0" fontId="11" fillId="35" borderId="22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6" fontId="12" fillId="0" borderId="2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7" xfId="0" applyFont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/>
    </xf>
    <xf numFmtId="0" fontId="19" fillId="35" borderId="18" xfId="0" applyFont="1" applyFill="1" applyBorder="1" applyAlignment="1">
      <alignment wrapText="1"/>
    </xf>
    <xf numFmtId="0" fontId="19" fillId="35" borderId="12" xfId="0" applyFont="1" applyFill="1" applyBorder="1" applyAlignment="1">
      <alignment wrapText="1"/>
    </xf>
    <xf numFmtId="0" fontId="19" fillId="35" borderId="19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9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 indent="1"/>
    </xf>
    <xf numFmtId="0" fontId="11" fillId="35" borderId="17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0" fontId="3" fillId="0" borderId="2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7" fillId="32" borderId="0" xfId="0" applyFont="1" applyFill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32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9" fillId="5" borderId="1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545" t="s">
        <v>419</v>
      </c>
      <c r="D1" s="598" t="str">
        <f>'Приложение №1'!B10</f>
        <v>Пушкина,19/1</v>
      </c>
    </row>
    <row r="2" spans="1:4" s="51" customFormat="1" ht="80.25" customHeight="1">
      <c r="A2" s="48" t="s">
        <v>412</v>
      </c>
      <c r="B2" s="616" t="s">
        <v>432</v>
      </c>
      <c r="C2" s="582" t="s">
        <v>431</v>
      </c>
      <c r="D2" s="597" t="s">
        <v>413</v>
      </c>
    </row>
    <row r="3" spans="2:4" ht="15" customHeight="1">
      <c r="B3" s="608" t="s">
        <v>429</v>
      </c>
      <c r="C3" s="609" t="s">
        <v>430</v>
      </c>
      <c r="D3" s="569"/>
    </row>
    <row r="4" spans="1:4" ht="15" customHeight="1">
      <c r="A4" s="607" t="s">
        <v>414</v>
      </c>
      <c r="B4" s="610" t="e">
        <f>'Приложение №2'!#REF!</f>
        <v>#REF!</v>
      </c>
      <c r="C4" s="611" t="e">
        <f>#REF!</f>
        <v>#REF!</v>
      </c>
      <c r="D4" s="569" t="e">
        <f>B4-C4</f>
        <v>#REF!</v>
      </c>
    </row>
    <row r="5" spans="1:5" ht="15" customHeight="1">
      <c r="A5" s="612" t="s">
        <v>434</v>
      </c>
      <c r="B5" s="613" t="e">
        <f>B4*B7</f>
        <v>#REF!</v>
      </c>
      <c r="C5" s="613" t="e">
        <f>C4*C7</f>
        <v>#REF!</v>
      </c>
      <c r="D5" s="614" t="e">
        <f>C7*D4</f>
        <v>#REF!</v>
      </c>
      <c r="E5" s="615" t="e">
        <f>D5*12</f>
        <v>#REF!</v>
      </c>
    </row>
    <row r="6" spans="1:5" ht="15" customHeight="1">
      <c r="A6" s="612" t="s">
        <v>435</v>
      </c>
      <c r="B6" s="613" t="e">
        <f>B5*12</f>
        <v>#REF!</v>
      </c>
      <c r="C6" s="613" t="e">
        <f>C5*12</f>
        <v>#REF!</v>
      </c>
      <c r="D6" s="613" t="e">
        <f>D5*12</f>
        <v>#REF!</v>
      </c>
      <c r="E6" s="615" t="e">
        <f>SUM(B6:D6)</f>
        <v>#REF!</v>
      </c>
    </row>
    <row r="7" spans="1:5" s="2" customFormat="1" ht="30" customHeight="1">
      <c r="A7" s="619" t="s">
        <v>433</v>
      </c>
      <c r="B7" s="617">
        <f>SUM(B8:B15)</f>
        <v>0</v>
      </c>
      <c r="C7" s="617" t="e">
        <f>#REF!-'Расчет субсидии'!B7</f>
        <v>#REF!</v>
      </c>
      <c r="D7" s="618"/>
      <c r="E7" s="3"/>
    </row>
    <row r="8" spans="1:5" ht="12.75">
      <c r="A8" s="620" t="s">
        <v>420</v>
      </c>
      <c r="B8" s="55"/>
      <c r="C8" s="54"/>
      <c r="D8" s="55"/>
      <c r="E8" s="621"/>
    </row>
    <row r="9" spans="1:5" ht="14.25" customHeight="1">
      <c r="A9" s="622" t="s">
        <v>421</v>
      </c>
      <c r="B9" s="52"/>
      <c r="C9" s="50"/>
      <c r="D9" s="52"/>
      <c r="E9" s="623" t="e">
        <f>B9*D4</f>
        <v>#REF!</v>
      </c>
    </row>
    <row r="10" spans="1:5" ht="14.25" customHeight="1">
      <c r="A10" s="622" t="s">
        <v>422</v>
      </c>
      <c r="B10" s="52"/>
      <c r="C10" s="50"/>
      <c r="D10" s="52"/>
      <c r="E10" s="624"/>
    </row>
    <row r="11" spans="1:5" ht="14.25" customHeight="1">
      <c r="A11" s="622" t="s">
        <v>423</v>
      </c>
      <c r="B11" s="52"/>
      <c r="C11" s="50"/>
      <c r="D11" s="52"/>
      <c r="E11" s="624"/>
    </row>
    <row r="12" spans="1:5" ht="12.75">
      <c r="A12" s="622" t="s">
        <v>424</v>
      </c>
      <c r="B12" s="52"/>
      <c r="C12" s="50"/>
      <c r="D12" s="52"/>
      <c r="E12" s="624"/>
    </row>
    <row r="13" spans="1:5" ht="12.75">
      <c r="A13" s="622" t="s">
        <v>425</v>
      </c>
      <c r="B13" s="52"/>
      <c r="C13" s="50"/>
      <c r="D13" s="52"/>
      <c r="E13" s="624"/>
    </row>
    <row r="14" spans="1:5" ht="12.75">
      <c r="A14" s="622" t="s">
        <v>426</v>
      </c>
      <c r="B14" s="52"/>
      <c r="C14" s="50"/>
      <c r="D14" s="52"/>
      <c r="E14" s="624"/>
    </row>
    <row r="15" spans="1:5" ht="12.75">
      <c r="A15" s="625" t="s">
        <v>427</v>
      </c>
      <c r="B15" s="628"/>
      <c r="C15" s="626"/>
      <c r="D15" s="628"/>
      <c r="E15" s="627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1.00390625" style="5" customWidth="1"/>
    <col min="2" max="2" width="21.00390625" style="9" customWidth="1"/>
    <col min="3" max="3" width="19.125" style="9" customWidth="1"/>
    <col min="4" max="4" width="3.00390625" style="674" customWidth="1"/>
    <col min="5" max="5" width="12.875" style="851" customWidth="1"/>
    <col min="6" max="6" width="12.25390625" style="852" customWidth="1"/>
    <col min="7" max="7" width="25.75390625" style="9" customWidth="1"/>
    <col min="8" max="8" width="22.375" style="9" customWidth="1"/>
    <col min="9" max="16384" width="9.125" style="9" customWidth="1"/>
  </cols>
  <sheetData>
    <row r="1" spans="2:3" ht="27.75" customHeight="1">
      <c r="B1" s="1107" t="s">
        <v>532</v>
      </c>
      <c r="C1" s="1107"/>
    </row>
    <row r="2" spans="2:53" ht="15.75">
      <c r="B2" s="1104" t="s">
        <v>127</v>
      </c>
      <c r="C2" s="1104"/>
      <c r="D2" s="67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53" ht="46.5" customHeight="1">
      <c r="B3" s="1103" t="s">
        <v>458</v>
      </c>
      <c r="C3" s="1103"/>
      <c r="D3" s="676"/>
      <c r="E3" s="853"/>
      <c r="F3" s="85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4" ht="25.5" customHeight="1">
      <c r="A4" s="9"/>
      <c r="B4" s="27"/>
      <c r="C4" s="9" t="s">
        <v>459</v>
      </c>
      <c r="D4" s="677"/>
    </row>
    <row r="5" spans="1:53" ht="27.75" customHeight="1">
      <c r="A5" s="9"/>
      <c r="B5" s="693" t="s">
        <v>486</v>
      </c>
      <c r="D5" s="678"/>
      <c r="E5" s="855"/>
      <c r="F5" s="85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5.75">
      <c r="A6" s="9"/>
      <c r="B6" s="8" t="s">
        <v>534</v>
      </c>
      <c r="C6" s="11"/>
      <c r="D6" s="678"/>
      <c r="E6" s="855"/>
      <c r="F6" s="85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6" ht="15.75">
      <c r="A7" s="1104" t="s">
        <v>173</v>
      </c>
      <c r="B7" s="1104"/>
      <c r="C7" s="1104"/>
      <c r="D7" s="679"/>
      <c r="E7" s="850"/>
      <c r="F7" s="857"/>
    </row>
    <row r="8" spans="1:4" ht="35.25" customHeight="1">
      <c r="A8" s="1105" t="s">
        <v>454</v>
      </c>
      <c r="B8" s="1105"/>
      <c r="C8" s="1105"/>
      <c r="D8" s="677"/>
    </row>
    <row r="9" spans="1:4" ht="18" customHeight="1">
      <c r="A9" s="1104" t="s">
        <v>251</v>
      </c>
      <c r="B9" s="1104"/>
      <c r="C9" s="1104"/>
      <c r="D9" s="677"/>
    </row>
    <row r="10" spans="1:11" ht="19.5" customHeight="1">
      <c r="A10" s="7" t="s">
        <v>174</v>
      </c>
      <c r="B10" s="583" t="s">
        <v>619</v>
      </c>
      <c r="C10" s="7"/>
      <c r="D10" s="677"/>
      <c r="E10" s="7" t="s">
        <v>174</v>
      </c>
      <c r="F10" s="583" t="s">
        <v>599</v>
      </c>
      <c r="G10" s="7"/>
      <c r="H10" s="674"/>
      <c r="K10" s="1019"/>
    </row>
    <row r="11" spans="1:11" ht="33" customHeight="1">
      <c r="A11" s="190" t="s">
        <v>175</v>
      </c>
      <c r="B11" s="6"/>
      <c r="C11" s="6"/>
      <c r="E11" s="190" t="s">
        <v>175</v>
      </c>
      <c r="F11" s="6"/>
      <c r="G11" s="6"/>
      <c r="H11" s="674"/>
      <c r="K11" s="1019"/>
    </row>
    <row r="12" spans="1:11" ht="14.25" customHeight="1">
      <c r="A12" s="5" t="s">
        <v>177</v>
      </c>
      <c r="B12" s="583" t="s">
        <v>600</v>
      </c>
      <c r="C12" s="7"/>
      <c r="E12" s="9"/>
      <c r="F12" s="7"/>
      <c r="G12" s="7"/>
      <c r="H12" s="674"/>
      <c r="K12" s="1019"/>
    </row>
    <row r="13" spans="1:11" ht="15.75" customHeight="1">
      <c r="A13" s="7" t="s">
        <v>178</v>
      </c>
      <c r="B13" s="583">
        <v>1948</v>
      </c>
      <c r="E13" s="5" t="s">
        <v>177</v>
      </c>
      <c r="F13" s="583" t="s">
        <v>600</v>
      </c>
      <c r="G13" s="7"/>
      <c r="H13" s="674"/>
      <c r="K13" s="1019"/>
    </row>
    <row r="14" spans="1:11" ht="15.75" customHeight="1">
      <c r="A14" s="1106" t="s">
        <v>179</v>
      </c>
      <c r="B14" s="1106"/>
      <c r="C14" s="584">
        <v>0.35</v>
      </c>
      <c r="E14" s="7" t="s">
        <v>178</v>
      </c>
      <c r="F14" s="583">
        <v>1948</v>
      </c>
      <c r="H14" s="674"/>
      <c r="K14" s="1019"/>
    </row>
    <row r="15" spans="1:11" ht="15.75" customHeight="1">
      <c r="A15" s="7" t="s">
        <v>180</v>
      </c>
      <c r="B15" s="584"/>
      <c r="C15" s="907"/>
      <c r="E15" s="1106" t="s">
        <v>179</v>
      </c>
      <c r="F15" s="1106"/>
      <c r="G15" s="584">
        <v>0.35</v>
      </c>
      <c r="H15" s="674"/>
      <c r="K15" s="1019"/>
    </row>
    <row r="16" spans="1:11" ht="15.75" customHeight="1">
      <c r="A16" s="7" t="s">
        <v>181</v>
      </c>
      <c r="B16" s="583" t="s">
        <v>529</v>
      </c>
      <c r="C16" s="7"/>
      <c r="E16" s="7" t="s">
        <v>180</v>
      </c>
      <c r="F16" s="584"/>
      <c r="H16" s="674"/>
      <c r="K16" s="1020"/>
    </row>
    <row r="17" spans="1:11" ht="15.75" customHeight="1">
      <c r="A17" s="190" t="s">
        <v>255</v>
      </c>
      <c r="B17" s="583" t="s">
        <v>176</v>
      </c>
      <c r="E17" s="7" t="s">
        <v>181</v>
      </c>
      <c r="F17" s="9" t="s">
        <v>600</v>
      </c>
      <c r="G17" s="7"/>
      <c r="H17" s="674"/>
      <c r="K17" s="1019"/>
    </row>
    <row r="18" spans="1:11" ht="15.75" customHeight="1">
      <c r="A18" s="7" t="s">
        <v>182</v>
      </c>
      <c r="B18" s="585">
        <v>2</v>
      </c>
      <c r="E18" s="190" t="s">
        <v>255</v>
      </c>
      <c r="F18" s="583" t="s">
        <v>176</v>
      </c>
      <c r="H18" s="674"/>
      <c r="K18" s="1019"/>
    </row>
    <row r="19" spans="1:11" ht="15.75">
      <c r="A19" s="7" t="s">
        <v>183</v>
      </c>
      <c r="B19" s="583" t="s">
        <v>176</v>
      </c>
      <c r="E19" s="7" t="s">
        <v>182</v>
      </c>
      <c r="F19" s="585">
        <v>2</v>
      </c>
      <c r="H19" s="674"/>
      <c r="K19" s="1019"/>
    </row>
    <row r="20" spans="1:11" ht="15.75">
      <c r="A20" s="7" t="s">
        <v>184</v>
      </c>
      <c r="B20" s="583" t="s">
        <v>176</v>
      </c>
      <c r="E20" s="7" t="s">
        <v>183</v>
      </c>
      <c r="F20" s="583" t="s">
        <v>176</v>
      </c>
      <c r="H20" s="674"/>
      <c r="K20" s="1019"/>
    </row>
    <row r="21" spans="1:11" ht="15.75">
      <c r="A21" s="7" t="s">
        <v>185</v>
      </c>
      <c r="B21" s="583" t="s">
        <v>176</v>
      </c>
      <c r="E21" s="7" t="s">
        <v>184</v>
      </c>
      <c r="F21" s="583" t="s">
        <v>176</v>
      </c>
      <c r="H21" s="674"/>
      <c r="K21" s="1019"/>
    </row>
    <row r="22" spans="1:11" ht="15.75">
      <c r="A22" s="7" t="s">
        <v>186</v>
      </c>
      <c r="B22" s="583" t="s">
        <v>176</v>
      </c>
      <c r="E22" s="7" t="s">
        <v>185</v>
      </c>
      <c r="F22" s="583" t="s">
        <v>176</v>
      </c>
      <c r="H22" s="674"/>
      <c r="K22" s="1019"/>
    </row>
    <row r="23" spans="1:11" ht="15.75">
      <c r="A23" s="7" t="s">
        <v>187</v>
      </c>
      <c r="B23" s="583">
        <v>17</v>
      </c>
      <c r="E23" s="7" t="s">
        <v>186</v>
      </c>
      <c r="F23" s="583" t="s">
        <v>176</v>
      </c>
      <c r="H23" s="674"/>
      <c r="K23" s="1019"/>
    </row>
    <row r="24" spans="1:11" ht="33" customHeight="1">
      <c r="A24" s="1103" t="s">
        <v>188</v>
      </c>
      <c r="B24" s="1103"/>
      <c r="C24" s="667" t="s">
        <v>176</v>
      </c>
      <c r="E24" s="7" t="s">
        <v>187</v>
      </c>
      <c r="F24" s="583">
        <v>17</v>
      </c>
      <c r="H24" s="674"/>
      <c r="K24" s="1019"/>
    </row>
    <row r="25" spans="1:11" ht="33.75" customHeight="1">
      <c r="A25" s="1103" t="s">
        <v>254</v>
      </c>
      <c r="B25" s="1103"/>
      <c r="C25" s="668" t="s">
        <v>176</v>
      </c>
      <c r="E25" s="1103" t="s">
        <v>188</v>
      </c>
      <c r="F25" s="1103"/>
      <c r="G25" s="667" t="s">
        <v>176</v>
      </c>
      <c r="H25" s="674"/>
      <c r="K25" s="1019"/>
    </row>
    <row r="26" spans="1:11" ht="45.75" customHeight="1">
      <c r="A26" s="1103" t="s">
        <v>257</v>
      </c>
      <c r="B26" s="1103"/>
      <c r="C26" s="667" t="s">
        <v>176</v>
      </c>
      <c r="E26" s="1103" t="s">
        <v>254</v>
      </c>
      <c r="F26" s="1103"/>
      <c r="G26" s="668" t="s">
        <v>176</v>
      </c>
      <c r="H26" s="674"/>
      <c r="K26" s="1019"/>
    </row>
    <row r="27" spans="1:11" ht="15.75" customHeight="1">
      <c r="A27" s="7" t="s">
        <v>189</v>
      </c>
      <c r="B27" s="6">
        <v>3974</v>
      </c>
      <c r="C27" s="10" t="s">
        <v>238</v>
      </c>
      <c r="E27" s="1103" t="s">
        <v>257</v>
      </c>
      <c r="F27" s="1103"/>
      <c r="G27" s="667" t="s">
        <v>176</v>
      </c>
      <c r="H27" s="674"/>
      <c r="K27" s="1019"/>
    </row>
    <row r="28" spans="1:11" ht="15.75">
      <c r="A28" s="7" t="s">
        <v>190</v>
      </c>
      <c r="B28" s="7"/>
      <c r="C28" s="7"/>
      <c r="D28" s="9"/>
      <c r="E28" s="7" t="s">
        <v>189</v>
      </c>
      <c r="F28" s="6">
        <v>3974</v>
      </c>
      <c r="G28" s="10" t="s">
        <v>238</v>
      </c>
      <c r="H28" s="908">
        <f>F28</f>
        <v>3974</v>
      </c>
      <c r="K28" s="1019"/>
    </row>
    <row r="29" spans="1:11" ht="15.75">
      <c r="A29" s="191" t="s">
        <v>191</v>
      </c>
      <c r="B29" s="7"/>
      <c r="C29" s="7"/>
      <c r="E29" s="7" t="s">
        <v>190</v>
      </c>
      <c r="F29" s="7"/>
      <c r="G29" s="7"/>
      <c r="H29" s="674"/>
      <c r="K29" s="1019"/>
    </row>
    <row r="30" spans="1:11" ht="15.75">
      <c r="A30" s="191" t="s">
        <v>192</v>
      </c>
      <c r="B30" s="586">
        <v>1046.6</v>
      </c>
      <c r="C30" s="6" t="s">
        <v>193</v>
      </c>
      <c r="E30" s="191" t="s">
        <v>191</v>
      </c>
      <c r="F30" s="7"/>
      <c r="G30" s="7"/>
      <c r="H30" s="674"/>
      <c r="K30" s="1019"/>
    </row>
    <row r="31" spans="1:11" ht="15.75">
      <c r="A31" s="191" t="s">
        <v>252</v>
      </c>
      <c r="B31" s="10">
        <v>973.7</v>
      </c>
      <c r="C31" s="10" t="s">
        <v>193</v>
      </c>
      <c r="E31" s="191" t="s">
        <v>192</v>
      </c>
      <c r="F31" s="586">
        <v>1046.6</v>
      </c>
      <c r="G31" s="6" t="s">
        <v>193</v>
      </c>
      <c r="H31" s="674"/>
      <c r="K31" s="1019"/>
    </row>
    <row r="32" spans="1:11" ht="18" customHeight="1">
      <c r="A32" s="192" t="s">
        <v>253</v>
      </c>
      <c r="B32" s="10">
        <v>610.6</v>
      </c>
      <c r="C32" s="10" t="s">
        <v>193</v>
      </c>
      <c r="E32" s="191" t="s">
        <v>252</v>
      </c>
      <c r="F32" s="10">
        <v>973.7</v>
      </c>
      <c r="G32" s="10" t="s">
        <v>193</v>
      </c>
      <c r="H32" s="674"/>
      <c r="K32" s="1019"/>
    </row>
    <row r="33" spans="1:11" ht="18" customHeight="1">
      <c r="A33" s="193" t="s">
        <v>259</v>
      </c>
      <c r="B33" s="587">
        <v>0</v>
      </c>
      <c r="C33" s="10" t="s">
        <v>193</v>
      </c>
      <c r="E33" s="192" t="s">
        <v>253</v>
      </c>
      <c r="F33" s="10">
        <v>610.6</v>
      </c>
      <c r="G33" s="10" t="s">
        <v>193</v>
      </c>
      <c r="H33" s="674"/>
      <c r="K33" s="1019"/>
    </row>
    <row r="34" spans="1:11" ht="48" customHeight="1">
      <c r="A34" s="193" t="s">
        <v>258</v>
      </c>
      <c r="B34" s="587">
        <v>0</v>
      </c>
      <c r="C34" s="10" t="s">
        <v>193</v>
      </c>
      <c r="E34" s="193" t="s">
        <v>259</v>
      </c>
      <c r="F34" s="587">
        <v>0</v>
      </c>
      <c r="G34" s="10" t="s">
        <v>193</v>
      </c>
      <c r="H34" s="674"/>
      <c r="K34" s="1019"/>
    </row>
    <row r="35" spans="1:11" ht="12.75" customHeight="1">
      <c r="A35" s="7" t="s">
        <v>194</v>
      </c>
      <c r="B35" s="10">
        <v>2</v>
      </c>
      <c r="C35" s="10" t="s">
        <v>116</v>
      </c>
      <c r="E35" s="193" t="s">
        <v>258</v>
      </c>
      <c r="F35" s="587">
        <v>0</v>
      </c>
      <c r="G35" s="10" t="s">
        <v>193</v>
      </c>
      <c r="H35" s="674"/>
      <c r="K35" s="1019"/>
    </row>
    <row r="36" spans="1:11" ht="30.75" customHeight="1">
      <c r="A36" s="190" t="s">
        <v>195</v>
      </c>
      <c r="B36" s="10">
        <v>72.9</v>
      </c>
      <c r="C36" s="10" t="s">
        <v>193</v>
      </c>
      <c r="E36" s="7" t="s">
        <v>194</v>
      </c>
      <c r="F36" s="10">
        <v>2</v>
      </c>
      <c r="G36" s="10" t="s">
        <v>116</v>
      </c>
      <c r="H36" s="674"/>
      <c r="K36" s="1019"/>
    </row>
    <row r="37" spans="1:11" ht="16.5" customHeight="1">
      <c r="A37" s="7" t="s">
        <v>196</v>
      </c>
      <c r="B37" s="587">
        <v>0</v>
      </c>
      <c r="C37" s="10" t="s">
        <v>193</v>
      </c>
      <c r="E37" s="190" t="s">
        <v>195</v>
      </c>
      <c r="F37" s="10">
        <v>72.9</v>
      </c>
      <c r="G37" s="10" t="s">
        <v>193</v>
      </c>
      <c r="H37" s="674"/>
      <c r="K37" s="1019"/>
    </row>
    <row r="38" spans="1:11" ht="47.25">
      <c r="A38" s="59" t="s">
        <v>451</v>
      </c>
      <c r="B38" s="588">
        <v>0</v>
      </c>
      <c r="C38" s="7" t="s">
        <v>193</v>
      </c>
      <c r="D38" s="680"/>
      <c r="E38" s="7" t="s">
        <v>196</v>
      </c>
      <c r="F38" s="587">
        <v>0</v>
      </c>
      <c r="G38" s="10" t="s">
        <v>193</v>
      </c>
      <c r="H38" s="680"/>
      <c r="K38" s="1019"/>
    </row>
    <row r="39" spans="1:11" ht="47.25" customHeight="1">
      <c r="A39" s="684" t="s">
        <v>197</v>
      </c>
      <c r="B39" s="589">
        <v>1799</v>
      </c>
      <c r="C39" s="861"/>
      <c r="D39" s="680"/>
      <c r="E39" s="59" t="s">
        <v>451</v>
      </c>
      <c r="F39" s="588">
        <v>0</v>
      </c>
      <c r="G39" s="7" t="s">
        <v>193</v>
      </c>
      <c r="H39" s="680"/>
      <c r="K39" s="1019"/>
    </row>
    <row r="40" spans="1:11" ht="15.75" customHeight="1">
      <c r="A40" s="685" t="s">
        <v>198</v>
      </c>
      <c r="B40" s="588">
        <v>578</v>
      </c>
      <c r="C40" s="60" t="s">
        <v>193</v>
      </c>
      <c r="D40" s="680"/>
      <c r="E40" s="684" t="s">
        <v>197</v>
      </c>
      <c r="F40" s="589">
        <v>1799</v>
      </c>
      <c r="G40" s="861"/>
      <c r="H40" s="680"/>
      <c r="K40" s="1019"/>
    </row>
    <row r="41" spans="1:11" ht="15" customHeight="1">
      <c r="A41" s="686" t="s">
        <v>300</v>
      </c>
      <c r="B41" s="588"/>
      <c r="C41" s="60" t="s">
        <v>193</v>
      </c>
      <c r="D41" s="681"/>
      <c r="E41" s="685" t="s">
        <v>198</v>
      </c>
      <c r="F41" s="588">
        <v>578</v>
      </c>
      <c r="G41" s="60" t="s">
        <v>193</v>
      </c>
      <c r="H41" s="681"/>
      <c r="K41" s="1019"/>
    </row>
    <row r="42" spans="1:11" ht="15" customHeight="1">
      <c r="A42" s="685" t="s">
        <v>292</v>
      </c>
      <c r="B42" s="588">
        <v>601</v>
      </c>
      <c r="C42" s="60" t="s">
        <v>193</v>
      </c>
      <c r="D42" s="681"/>
      <c r="E42" s="686" t="s">
        <v>300</v>
      </c>
      <c r="F42" s="588"/>
      <c r="G42" s="60" t="s">
        <v>193</v>
      </c>
      <c r="H42" s="681"/>
      <c r="K42" s="1019"/>
    </row>
    <row r="43" spans="1:11" ht="15.75" customHeight="1">
      <c r="A43" s="191" t="s">
        <v>293</v>
      </c>
      <c r="B43" s="586">
        <v>620</v>
      </c>
      <c r="C43" s="61" t="s">
        <v>193</v>
      </c>
      <c r="D43" s="681"/>
      <c r="E43" s="685" t="s">
        <v>292</v>
      </c>
      <c r="F43" s="588">
        <v>601</v>
      </c>
      <c r="G43" s="60" t="s">
        <v>193</v>
      </c>
      <c r="H43" s="681"/>
      <c r="K43" s="1019"/>
    </row>
    <row r="44" spans="1:11" ht="15.75" customHeight="1">
      <c r="A44" s="5" t="s">
        <v>199</v>
      </c>
      <c r="B44" s="17"/>
      <c r="C44" s="17"/>
      <c r="D44" s="681"/>
      <c r="E44" s="191" t="s">
        <v>293</v>
      </c>
      <c r="F44" s="586">
        <v>620</v>
      </c>
      <c r="G44" s="61" t="s">
        <v>193</v>
      </c>
      <c r="H44" s="681"/>
      <c r="K44" s="1019"/>
    </row>
    <row r="45" spans="1:11" ht="15" customHeight="1">
      <c r="A45" s="5" t="s">
        <v>452</v>
      </c>
      <c r="B45" s="865">
        <v>61</v>
      </c>
      <c r="C45" s="17" t="s">
        <v>453</v>
      </c>
      <c r="D45" s="680"/>
      <c r="E45" s="5" t="s">
        <v>199</v>
      </c>
      <c r="F45" s="17"/>
      <c r="G45" s="17"/>
      <c r="H45" s="680"/>
      <c r="K45" s="1019"/>
    </row>
    <row r="46" spans="1:8" ht="15" customHeight="1">
      <c r="A46" s="5" t="s">
        <v>455</v>
      </c>
      <c r="B46" s="865">
        <v>745.9</v>
      </c>
      <c r="C46" s="6" t="s">
        <v>193</v>
      </c>
      <c r="D46" s="680"/>
      <c r="E46" s="5" t="s">
        <v>452</v>
      </c>
      <c r="F46" s="865">
        <v>61</v>
      </c>
      <c r="G46" s="17" t="s">
        <v>453</v>
      </c>
      <c r="H46" s="680"/>
    </row>
    <row r="47" spans="1:8" ht="18" customHeight="1">
      <c r="A47" s="844" t="s">
        <v>495</v>
      </c>
      <c r="B47" s="1021"/>
      <c r="C47" s="7"/>
      <c r="E47" s="5" t="s">
        <v>562</v>
      </c>
      <c r="F47" s="865">
        <v>745.9</v>
      </c>
      <c r="G47" s="61" t="s">
        <v>193</v>
      </c>
      <c r="H47" s="680"/>
    </row>
    <row r="48" spans="1:8" ht="15" customHeight="1">
      <c r="A48" s="845" t="s">
        <v>496</v>
      </c>
      <c r="B48" s="862"/>
      <c r="C48" s="7"/>
      <c r="D48" s="680"/>
      <c r="E48" s="1104" t="s">
        <v>200</v>
      </c>
      <c r="F48" s="1104"/>
      <c r="G48" s="1104"/>
      <c r="H48" s="680"/>
    </row>
    <row r="49" spans="1:8" ht="15" customHeight="1">
      <c r="A49" s="845" t="s">
        <v>498</v>
      </c>
      <c r="B49" s="865">
        <v>745.9</v>
      </c>
      <c r="C49" s="7"/>
      <c r="D49" s="680"/>
      <c r="E49" s="5"/>
      <c r="F49" s="9"/>
      <c r="H49" s="674"/>
    </row>
    <row r="50" spans="1:8" ht="15" customHeight="1">
      <c r="A50" s="845" t="s">
        <v>497</v>
      </c>
      <c r="B50" s="862"/>
      <c r="C50" s="7"/>
      <c r="D50" s="680"/>
      <c r="E50" s="16" t="s">
        <v>256</v>
      </c>
      <c r="F50" s="16" t="s">
        <v>201</v>
      </c>
      <c r="G50" s="16" t="s">
        <v>202</v>
      </c>
      <c r="H50" s="674"/>
    </row>
    <row r="51" spans="1:8" ht="15" customHeight="1">
      <c r="A51" s="1104" t="s">
        <v>200</v>
      </c>
      <c r="B51" s="1104"/>
      <c r="C51" s="1104"/>
      <c r="D51" s="680"/>
      <c r="E51" s="14" t="s">
        <v>203</v>
      </c>
      <c r="F51" s="909" t="s">
        <v>601</v>
      </c>
      <c r="G51" s="910" t="s">
        <v>602</v>
      </c>
      <c r="H51" s="674"/>
    </row>
    <row r="52" spans="4:8" ht="16.5" customHeight="1">
      <c r="D52" s="680"/>
      <c r="E52" s="14" t="s">
        <v>204</v>
      </c>
      <c r="F52" s="909" t="s">
        <v>603</v>
      </c>
      <c r="G52" s="910" t="s">
        <v>604</v>
      </c>
      <c r="H52" s="674"/>
    </row>
    <row r="53" spans="1:8" ht="96" customHeight="1">
      <c r="A53" s="16" t="s">
        <v>256</v>
      </c>
      <c r="B53" s="16" t="s">
        <v>201</v>
      </c>
      <c r="C53" s="16" t="s">
        <v>202</v>
      </c>
      <c r="E53" s="18" t="s">
        <v>205</v>
      </c>
      <c r="F53" s="911" t="s">
        <v>568</v>
      </c>
      <c r="G53" s="910"/>
      <c r="H53" s="674"/>
    </row>
    <row r="54" spans="1:8" ht="17.25" customHeight="1">
      <c r="A54" s="14" t="s">
        <v>203</v>
      </c>
      <c r="B54" s="909" t="s">
        <v>601</v>
      </c>
      <c r="C54" s="910" t="s">
        <v>602</v>
      </c>
      <c r="E54" s="15" t="s">
        <v>206</v>
      </c>
      <c r="F54" s="912"/>
      <c r="G54" s="913"/>
      <c r="H54" s="674"/>
    </row>
    <row r="55" spans="1:8" ht="18.75" customHeight="1">
      <c r="A55" s="14" t="s">
        <v>204</v>
      </c>
      <c r="B55" s="909" t="s">
        <v>603</v>
      </c>
      <c r="C55" s="910" t="s">
        <v>604</v>
      </c>
      <c r="E55" s="19" t="s">
        <v>563</v>
      </c>
      <c r="F55" s="914" t="s">
        <v>605</v>
      </c>
      <c r="G55" s="927" t="s">
        <v>606</v>
      </c>
      <c r="H55" s="674"/>
    </row>
    <row r="56" spans="1:8" ht="15" customHeight="1">
      <c r="A56" s="18" t="s">
        <v>205</v>
      </c>
      <c r="B56" s="911" t="s">
        <v>568</v>
      </c>
      <c r="C56" s="910"/>
      <c r="E56" s="19" t="s">
        <v>207</v>
      </c>
      <c r="F56" s="916"/>
      <c r="G56" s="915"/>
      <c r="H56" s="674"/>
    </row>
    <row r="57" spans="1:8" ht="15" customHeight="1">
      <c r="A57" s="15" t="s">
        <v>206</v>
      </c>
      <c r="B57" s="912"/>
      <c r="C57" s="913"/>
      <c r="E57" s="19" t="s">
        <v>208</v>
      </c>
      <c r="F57" s="916"/>
      <c r="G57" s="915"/>
      <c r="H57" s="674"/>
    </row>
    <row r="58" spans="1:8" ht="15" customHeight="1">
      <c r="A58" s="19" t="s">
        <v>456</v>
      </c>
      <c r="B58" s="914" t="s">
        <v>605</v>
      </c>
      <c r="C58" s="927" t="s">
        <v>606</v>
      </c>
      <c r="E58" s="20" t="s">
        <v>209</v>
      </c>
      <c r="F58" s="917"/>
      <c r="G58" s="918"/>
      <c r="H58" s="674"/>
    </row>
    <row r="59" spans="1:8" ht="15" customHeight="1">
      <c r="A59" s="19" t="s">
        <v>207</v>
      </c>
      <c r="B59" s="916"/>
      <c r="C59" s="915"/>
      <c r="E59" s="21" t="s">
        <v>210</v>
      </c>
      <c r="F59" s="919" t="s">
        <v>607</v>
      </c>
      <c r="G59" s="928" t="s">
        <v>608</v>
      </c>
      <c r="H59" s="674"/>
    </row>
    <row r="60" spans="1:8" ht="15" customHeight="1">
      <c r="A60" s="19" t="s">
        <v>208</v>
      </c>
      <c r="B60" s="916"/>
      <c r="C60" s="915"/>
      <c r="E60" s="22" t="s">
        <v>211</v>
      </c>
      <c r="F60" s="909" t="s">
        <v>568</v>
      </c>
      <c r="G60" s="920" t="s">
        <v>609</v>
      </c>
      <c r="H60" s="674"/>
    </row>
    <row r="61" spans="1:8" ht="15" customHeight="1">
      <c r="A61" s="20" t="s">
        <v>209</v>
      </c>
      <c r="B61" s="917"/>
      <c r="C61" s="918"/>
      <c r="E61" s="15" t="s">
        <v>212</v>
      </c>
      <c r="F61" s="590"/>
      <c r="G61" s="671"/>
      <c r="H61" s="674"/>
    </row>
    <row r="62" spans="1:8" ht="15" customHeight="1">
      <c r="A62" s="21" t="s">
        <v>210</v>
      </c>
      <c r="B62" s="919" t="s">
        <v>607</v>
      </c>
      <c r="C62" s="928" t="s">
        <v>608</v>
      </c>
      <c r="E62" s="23" t="s">
        <v>213</v>
      </c>
      <c r="F62" s="864" t="s">
        <v>610</v>
      </c>
      <c r="G62" s="929" t="s">
        <v>611</v>
      </c>
      <c r="H62" s="674"/>
    </row>
    <row r="63" spans="1:8" ht="18" customHeight="1">
      <c r="A63" s="22" t="s">
        <v>211</v>
      </c>
      <c r="B63" s="909" t="s">
        <v>568</v>
      </c>
      <c r="C63" s="920" t="s">
        <v>609</v>
      </c>
      <c r="E63" s="24" t="s">
        <v>214</v>
      </c>
      <c r="F63" s="591" t="s">
        <v>612</v>
      </c>
      <c r="G63" s="672"/>
      <c r="H63" s="674"/>
    </row>
    <row r="64" spans="1:8" ht="18.75" customHeight="1">
      <c r="A64" s="15" t="s">
        <v>212</v>
      </c>
      <c r="B64" s="590"/>
      <c r="C64" s="671"/>
      <c r="E64" s="25" t="s">
        <v>209</v>
      </c>
      <c r="F64" s="592"/>
      <c r="G64" s="670"/>
      <c r="H64" s="674"/>
    </row>
    <row r="65" spans="1:8" ht="25.5">
      <c r="A65" s="23" t="s">
        <v>213</v>
      </c>
      <c r="B65" s="864" t="s">
        <v>610</v>
      </c>
      <c r="C65" s="929" t="s">
        <v>611</v>
      </c>
      <c r="E65" s="15" t="s">
        <v>215</v>
      </c>
      <c r="F65" s="590"/>
      <c r="G65" s="671"/>
      <c r="H65" s="674"/>
    </row>
    <row r="66" spans="1:8" ht="18.75" customHeight="1">
      <c r="A66" s="24" t="s">
        <v>214</v>
      </c>
      <c r="B66" s="591" t="s">
        <v>612</v>
      </c>
      <c r="C66" s="672"/>
      <c r="E66" s="24" t="s">
        <v>216</v>
      </c>
      <c r="F66" s="1101" t="s">
        <v>613</v>
      </c>
      <c r="G66" s="1102" t="s">
        <v>614</v>
      </c>
      <c r="H66" s="674"/>
    </row>
    <row r="67" spans="1:8" ht="15" customHeight="1">
      <c r="A67" s="25" t="s">
        <v>209</v>
      </c>
      <c r="B67" s="592"/>
      <c r="C67" s="670"/>
      <c r="E67" s="23" t="s">
        <v>217</v>
      </c>
      <c r="F67" s="1101"/>
      <c r="G67" s="1102"/>
      <c r="H67" s="674"/>
    </row>
    <row r="68" spans="1:8" ht="15" customHeight="1">
      <c r="A68" s="15" t="s">
        <v>215</v>
      </c>
      <c r="B68" s="590"/>
      <c r="C68" s="671"/>
      <c r="E68" s="24" t="s">
        <v>209</v>
      </c>
      <c r="F68" s="591"/>
      <c r="G68" s="670"/>
      <c r="H68" s="674"/>
    </row>
    <row r="69" spans="1:8" ht="20.25" customHeight="1">
      <c r="A69" s="24" t="s">
        <v>216</v>
      </c>
      <c r="B69" s="1101" t="s">
        <v>613</v>
      </c>
      <c r="C69" s="1102" t="s">
        <v>614</v>
      </c>
      <c r="E69" s="15" t="s">
        <v>218</v>
      </c>
      <c r="F69" s="590"/>
      <c r="G69" s="671"/>
      <c r="H69" s="674"/>
    </row>
    <row r="70" spans="1:8" ht="20.25" customHeight="1">
      <c r="A70" s="23" t="s">
        <v>217</v>
      </c>
      <c r="B70" s="1101"/>
      <c r="C70" s="1102"/>
      <c r="E70" s="24" t="s">
        <v>536</v>
      </c>
      <c r="F70" s="1022" t="s">
        <v>176</v>
      </c>
      <c r="G70" s="672"/>
      <c r="H70" s="674"/>
    </row>
    <row r="71" spans="1:8" ht="15.75" customHeight="1">
      <c r="A71" s="24" t="s">
        <v>209</v>
      </c>
      <c r="B71" s="591"/>
      <c r="C71" s="670"/>
      <c r="E71" s="24" t="s">
        <v>219</v>
      </c>
      <c r="F71" s="631" t="s">
        <v>176</v>
      </c>
      <c r="G71" s="672"/>
      <c r="H71" s="674"/>
    </row>
    <row r="72" spans="1:8" ht="30.75" customHeight="1">
      <c r="A72" s="15" t="s">
        <v>218</v>
      </c>
      <c r="B72" s="590"/>
      <c r="C72" s="671"/>
      <c r="E72" s="24" t="s">
        <v>220</v>
      </c>
      <c r="F72" s="591" t="s">
        <v>176</v>
      </c>
      <c r="G72" s="672"/>
      <c r="H72" s="674"/>
    </row>
    <row r="73" spans="1:8" ht="15.75" customHeight="1">
      <c r="A73" s="24" t="s">
        <v>457</v>
      </c>
      <c r="B73" s="1022" t="s">
        <v>176</v>
      </c>
      <c r="C73" s="672"/>
      <c r="E73" s="24" t="s">
        <v>221</v>
      </c>
      <c r="F73" s="631" t="s">
        <v>250</v>
      </c>
      <c r="G73" s="672"/>
      <c r="H73" s="674"/>
    </row>
    <row r="74" spans="1:8" ht="15" customHeight="1">
      <c r="A74" s="24" t="s">
        <v>219</v>
      </c>
      <c r="B74" s="631" t="s">
        <v>176</v>
      </c>
      <c r="C74" s="672"/>
      <c r="E74" s="24" t="s">
        <v>222</v>
      </c>
      <c r="F74" s="591" t="s">
        <v>176</v>
      </c>
      <c r="G74" s="672"/>
      <c r="H74" s="674"/>
    </row>
    <row r="75" spans="1:8" ht="15" customHeight="1">
      <c r="A75" s="24" t="s">
        <v>220</v>
      </c>
      <c r="B75" s="591" t="s">
        <v>176</v>
      </c>
      <c r="C75" s="672"/>
      <c r="E75" s="24" t="s">
        <v>223</v>
      </c>
      <c r="F75" s="591" t="s">
        <v>176</v>
      </c>
      <c r="G75" s="672"/>
      <c r="H75" s="674"/>
    </row>
    <row r="76" spans="1:8" ht="15" customHeight="1">
      <c r="A76" s="24" t="s">
        <v>221</v>
      </c>
      <c r="B76" s="631" t="s">
        <v>250</v>
      </c>
      <c r="C76" s="672"/>
      <c r="E76" s="24" t="s">
        <v>224</v>
      </c>
      <c r="F76" s="591" t="s">
        <v>176</v>
      </c>
      <c r="G76" s="672"/>
      <c r="H76" s="674"/>
    </row>
    <row r="77" spans="1:8" ht="15" customHeight="1">
      <c r="A77" s="24" t="s">
        <v>222</v>
      </c>
      <c r="B77" s="591" t="s">
        <v>176</v>
      </c>
      <c r="C77" s="672"/>
      <c r="E77" s="24" t="s">
        <v>225</v>
      </c>
      <c r="F77" s="591" t="s">
        <v>176</v>
      </c>
      <c r="G77" s="672"/>
      <c r="H77" s="674"/>
    </row>
    <row r="78" spans="1:8" ht="15" customHeight="1">
      <c r="A78" s="24" t="s">
        <v>223</v>
      </c>
      <c r="B78" s="591" t="s">
        <v>176</v>
      </c>
      <c r="C78" s="672"/>
      <c r="E78" s="25" t="s">
        <v>436</v>
      </c>
      <c r="F78" s="591"/>
      <c r="G78" s="672"/>
      <c r="H78" s="674"/>
    </row>
    <row r="79" spans="1:8" ht="15" customHeight="1">
      <c r="A79" s="24" t="s">
        <v>224</v>
      </c>
      <c r="B79" s="591" t="s">
        <v>176</v>
      </c>
      <c r="C79" s="672"/>
      <c r="E79" s="15" t="s">
        <v>226</v>
      </c>
      <c r="F79" s="590"/>
      <c r="G79" s="671"/>
      <c r="H79" s="674"/>
    </row>
    <row r="80" spans="1:8" ht="15" customHeight="1">
      <c r="A80" s="24" t="s">
        <v>225</v>
      </c>
      <c r="B80" s="591" t="s">
        <v>176</v>
      </c>
      <c r="C80" s="672"/>
      <c r="E80" s="24" t="s">
        <v>227</v>
      </c>
      <c r="F80" s="631" t="s">
        <v>615</v>
      </c>
      <c r="G80" s="672"/>
      <c r="H80" s="674"/>
    </row>
    <row r="81" spans="1:8" ht="15" customHeight="1">
      <c r="A81" s="25" t="s">
        <v>436</v>
      </c>
      <c r="B81" s="591"/>
      <c r="C81" s="672"/>
      <c r="E81" s="24" t="s">
        <v>228</v>
      </c>
      <c r="F81" s="631" t="s">
        <v>250</v>
      </c>
      <c r="G81" s="672"/>
      <c r="H81" s="674"/>
    </row>
    <row r="82" spans="1:8" ht="15" customHeight="1">
      <c r="A82" s="15" t="s">
        <v>226</v>
      </c>
      <c r="B82" s="590"/>
      <c r="C82" s="671"/>
      <c r="E82" s="24" t="s">
        <v>229</v>
      </c>
      <c r="F82" s="591" t="s">
        <v>250</v>
      </c>
      <c r="G82" s="672" t="s">
        <v>564</v>
      </c>
      <c r="H82" s="674"/>
    </row>
    <row r="83" spans="1:8" ht="14.25" customHeight="1">
      <c r="A83" s="24" t="s">
        <v>227</v>
      </c>
      <c r="B83" s="631" t="s">
        <v>615</v>
      </c>
      <c r="C83" s="672"/>
      <c r="E83" s="24" t="s">
        <v>230</v>
      </c>
      <c r="F83" s="631" t="s">
        <v>250</v>
      </c>
      <c r="G83" s="672"/>
      <c r="H83" s="674"/>
    </row>
    <row r="84" spans="1:8" ht="15" customHeight="1">
      <c r="A84" s="24" t="s">
        <v>228</v>
      </c>
      <c r="B84" s="631" t="s">
        <v>250</v>
      </c>
      <c r="C84" s="672"/>
      <c r="E84" s="24" t="s">
        <v>231</v>
      </c>
      <c r="F84" s="591" t="s">
        <v>176</v>
      </c>
      <c r="G84" s="672"/>
      <c r="H84" s="674"/>
    </row>
    <row r="85" spans="1:11" ht="15" customHeight="1">
      <c r="A85" s="24" t="s">
        <v>229</v>
      </c>
      <c r="B85" s="591" t="s">
        <v>250</v>
      </c>
      <c r="C85" s="672" t="s">
        <v>564</v>
      </c>
      <c r="E85" s="24" t="s">
        <v>232</v>
      </c>
      <c r="F85" s="591" t="s">
        <v>565</v>
      </c>
      <c r="G85" s="672"/>
      <c r="H85" s="921">
        <f>F32</f>
        <v>973.7</v>
      </c>
      <c r="I85" s="922" t="s">
        <v>566</v>
      </c>
      <c r="J85" s="923">
        <v>350</v>
      </c>
      <c r="K85" s="1023" t="s">
        <v>616</v>
      </c>
    </row>
    <row r="86" spans="1:8" ht="15" customHeight="1">
      <c r="A86" s="24" t="s">
        <v>230</v>
      </c>
      <c r="B86" s="631" t="s">
        <v>250</v>
      </c>
      <c r="C86" s="672"/>
      <c r="E86" s="24" t="s">
        <v>233</v>
      </c>
      <c r="F86" s="631"/>
      <c r="G86" s="1024"/>
      <c r="H86" s="674"/>
    </row>
    <row r="87" spans="1:8" ht="15" customHeight="1">
      <c r="A87" s="24" t="s">
        <v>231</v>
      </c>
      <c r="B87" s="591" t="s">
        <v>176</v>
      </c>
      <c r="C87" s="672"/>
      <c r="E87" s="24" t="s">
        <v>234</v>
      </c>
      <c r="F87" s="591" t="s">
        <v>176</v>
      </c>
      <c r="G87" s="672"/>
      <c r="H87" s="674"/>
    </row>
    <row r="88" spans="1:8" ht="15" customHeight="1">
      <c r="A88" s="24" t="s">
        <v>232</v>
      </c>
      <c r="B88" s="591" t="s">
        <v>565</v>
      </c>
      <c r="C88" s="672"/>
      <c r="E88" s="24" t="s">
        <v>235</v>
      </c>
      <c r="F88" s="591" t="s">
        <v>176</v>
      </c>
      <c r="G88" s="672"/>
      <c r="H88" s="674"/>
    </row>
    <row r="89" spans="1:8" ht="15" customHeight="1">
      <c r="A89" s="24" t="s">
        <v>233</v>
      </c>
      <c r="B89" s="631"/>
      <c r="C89" s="1024"/>
      <c r="E89" s="26" t="s">
        <v>209</v>
      </c>
      <c r="F89" s="592" t="s">
        <v>176</v>
      </c>
      <c r="G89" s="673"/>
      <c r="H89" s="674"/>
    </row>
    <row r="90" spans="1:8" ht="15" customHeight="1">
      <c r="A90" s="24" t="s">
        <v>234</v>
      </c>
      <c r="B90" s="591" t="s">
        <v>176</v>
      </c>
      <c r="C90" s="672"/>
      <c r="E90" s="14" t="s">
        <v>236</v>
      </c>
      <c r="F90" s="909"/>
      <c r="G90" s="910"/>
      <c r="H90" s="674"/>
    </row>
    <row r="91" spans="1:7" ht="15" customHeight="1">
      <c r="A91" s="24" t="s">
        <v>235</v>
      </c>
      <c r="B91" s="591" t="s">
        <v>176</v>
      </c>
      <c r="C91" s="672"/>
      <c r="E91" s="179"/>
      <c r="F91" s="631"/>
      <c r="G91" s="672"/>
    </row>
    <row r="92" spans="1:7" ht="15" customHeight="1">
      <c r="A92" s="26" t="s">
        <v>209</v>
      </c>
      <c r="B92" s="592" t="s">
        <v>176</v>
      </c>
      <c r="C92" s="673"/>
      <c r="E92" s="179"/>
      <c r="F92" s="631" t="s">
        <v>530</v>
      </c>
      <c r="G92" s="672"/>
    </row>
    <row r="93" spans="1:7" ht="15" customHeight="1">
      <c r="A93" s="863" t="s">
        <v>236</v>
      </c>
      <c r="B93" s="909"/>
      <c r="C93" s="910"/>
      <c r="E93" s="179"/>
      <c r="F93" s="924"/>
      <c r="G93" s="673"/>
    </row>
    <row r="94" spans="1:7" ht="54.75" customHeight="1">
      <c r="A94" s="687" t="s">
        <v>617</v>
      </c>
      <c r="C94" s="9" t="s">
        <v>460</v>
      </c>
      <c r="E94" s="219" t="s">
        <v>530</v>
      </c>
      <c r="F94" s="925" t="s">
        <v>250</v>
      </c>
      <c r="G94" s="669"/>
    </row>
    <row r="95" ht="42" customHeight="1">
      <c r="A95" s="8" t="s">
        <v>535</v>
      </c>
    </row>
    <row r="96" ht="48.75" customHeight="1">
      <c r="A96" s="5" t="s">
        <v>237</v>
      </c>
    </row>
    <row r="97" ht="33.75" customHeight="1"/>
    <row r="98" ht="12" customHeight="1"/>
  </sheetData>
  <sheetProtection/>
  <mergeCells count="20">
    <mergeCell ref="B1:C1"/>
    <mergeCell ref="B2:C2"/>
    <mergeCell ref="B3:C3"/>
    <mergeCell ref="A14:B14"/>
    <mergeCell ref="A24:B24"/>
    <mergeCell ref="A7:C7"/>
    <mergeCell ref="A8:C8"/>
    <mergeCell ref="A9:C9"/>
    <mergeCell ref="A25:B25"/>
    <mergeCell ref="A26:B26"/>
    <mergeCell ref="E15:F15"/>
    <mergeCell ref="E25:F25"/>
    <mergeCell ref="E26:F26"/>
    <mergeCell ref="F66:F67"/>
    <mergeCell ref="G66:G67"/>
    <mergeCell ref="B69:B70"/>
    <mergeCell ref="C69:C70"/>
    <mergeCell ref="E27:F27"/>
    <mergeCell ref="E48:G48"/>
    <mergeCell ref="A51:C51"/>
  </mergeCells>
  <printOptions/>
  <pageMargins left="0.7086614173228347" right="0.2755905511811024" top="0.5905511811023623" bottom="0.5905511811023623" header="0.2362204724409449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PageLayoutView="0" workbookViewId="0" topLeftCell="A10">
      <selection activeCell="B31" sqref="B31:C31"/>
    </sheetView>
  </sheetViews>
  <sheetFormatPr defaultColWidth="10.00390625" defaultRowHeight="12.75"/>
  <cols>
    <col min="1" max="1" width="34.625" style="28" customWidth="1"/>
    <col min="2" max="2" width="6.00390625" style="28" customWidth="1"/>
    <col min="3" max="3" width="27.25390625" style="28" customWidth="1"/>
    <col min="4" max="4" width="14.375" style="28" customWidth="1"/>
    <col min="5" max="5" width="11.25390625" style="28" customWidth="1"/>
    <col min="6" max="6" width="11.125" style="28" customWidth="1"/>
    <col min="7" max="7" width="14.625" style="28" bestFit="1" customWidth="1"/>
    <col min="8" max="8" width="11.00390625" style="28" customWidth="1"/>
    <col min="9" max="9" width="6.875" style="363" customWidth="1"/>
    <col min="10" max="10" width="7.125" style="363" customWidth="1"/>
    <col min="11" max="16384" width="10.00390625" style="28" customWidth="1"/>
  </cols>
  <sheetData>
    <row r="1" spans="2:5" ht="30" customHeight="1">
      <c r="B1" s="39"/>
      <c r="D1" s="1107" t="s">
        <v>533</v>
      </c>
      <c r="E1" s="1107"/>
    </row>
    <row r="2" spans="1:7" ht="15.75">
      <c r="A2" s="39"/>
      <c r="B2" s="39"/>
      <c r="C2" s="1117" t="s">
        <v>127</v>
      </c>
      <c r="D2" s="1117"/>
      <c r="E2" s="39"/>
      <c r="F2" s="39"/>
      <c r="G2" s="39"/>
    </row>
    <row r="3" spans="1:7" ht="50.25" customHeight="1">
      <c r="A3" s="39"/>
      <c r="C3" s="1121" t="s">
        <v>458</v>
      </c>
      <c r="D3" s="1121"/>
      <c r="E3" s="39"/>
      <c r="F3" s="39"/>
      <c r="G3" s="39"/>
    </row>
    <row r="4" spans="1:7" ht="20.25" customHeight="1">
      <c r="A4" s="39"/>
      <c r="B4" s="39"/>
      <c r="C4" s="566"/>
      <c r="D4" s="300" t="s">
        <v>459</v>
      </c>
      <c r="E4" s="40"/>
      <c r="F4" s="39"/>
      <c r="G4" s="39"/>
    </row>
    <row r="5" spans="1:7" ht="24.75" customHeight="1">
      <c r="A5" s="39"/>
      <c r="B5" s="39"/>
      <c r="C5" s="796" t="s">
        <v>618</v>
      </c>
      <c r="D5" s="300"/>
      <c r="E5" s="41"/>
      <c r="F5" s="39"/>
      <c r="G5" s="39"/>
    </row>
    <row r="6" spans="1:7" ht="12.75" customHeight="1">
      <c r="A6" s="39"/>
      <c r="B6" s="39"/>
      <c r="C6" s="693" t="s">
        <v>486</v>
      </c>
      <c r="D6" s="797"/>
      <c r="E6" s="42"/>
      <c r="F6" s="39"/>
      <c r="G6" s="39"/>
    </row>
    <row r="7" spans="1:7" ht="15">
      <c r="A7" s="39"/>
      <c r="B7" s="39"/>
      <c r="C7" s="8" t="s">
        <v>534</v>
      </c>
      <c r="D7" s="798"/>
      <c r="E7" s="42"/>
      <c r="F7" s="39"/>
      <c r="G7" s="39"/>
    </row>
    <row r="8" spans="1:10" s="29" customFormat="1" ht="28.5" customHeight="1">
      <c r="A8" s="1117" t="s">
        <v>117</v>
      </c>
      <c r="B8" s="1117"/>
      <c r="C8" s="1117"/>
      <c r="D8" s="1117"/>
      <c r="E8" s="1117"/>
      <c r="F8" s="189"/>
      <c r="G8" s="189"/>
      <c r="I8" s="364"/>
      <c r="J8" s="363"/>
    </row>
    <row r="9" spans="1:10" s="29" customFormat="1" ht="35.25" customHeight="1">
      <c r="A9" s="1118" t="s">
        <v>448</v>
      </c>
      <c r="B9" s="1118"/>
      <c r="C9" s="1118"/>
      <c r="D9" s="1118"/>
      <c r="E9" s="1118"/>
      <c r="F9" s="189"/>
      <c r="G9" s="189"/>
      <c r="I9" s="364"/>
      <c r="J9" s="363"/>
    </row>
    <row r="10" spans="1:10" s="29" customFormat="1" ht="15.75">
      <c r="A10" s="630"/>
      <c r="B10" s="630"/>
      <c r="D10" s="630" t="str">
        <f>'Приложение №1'!B10</f>
        <v>Пушкина,19/1</v>
      </c>
      <c r="E10" s="630"/>
      <c r="F10" s="189"/>
      <c r="G10" s="188">
        <f>'Приложение №1'!B31</f>
        <v>973.7</v>
      </c>
      <c r="H10" s="365">
        <f>'Приложение №1'!B32</f>
        <v>610.6</v>
      </c>
      <c r="I10" s="364"/>
      <c r="J10" s="363"/>
    </row>
    <row r="11" spans="1:10" s="34" customFormat="1" ht="97.5" customHeight="1">
      <c r="A11" s="38"/>
      <c r="B11" s="1119" t="s">
        <v>118</v>
      </c>
      <c r="C11" s="1120"/>
      <c r="D11" s="565" t="s">
        <v>260</v>
      </c>
      <c r="E11" s="565" t="s">
        <v>261</v>
      </c>
      <c r="F11" s="565" t="s">
        <v>418</v>
      </c>
      <c r="G11" s="281"/>
      <c r="I11" s="367" t="s">
        <v>396</v>
      </c>
      <c r="J11" s="363"/>
    </row>
    <row r="12" spans="1:8" ht="17.25" customHeight="1">
      <c r="A12" s="362" t="s">
        <v>120</v>
      </c>
      <c r="B12" s="196"/>
      <c r="C12" s="196"/>
      <c r="D12" s="197"/>
      <c r="E12" s="197"/>
      <c r="F12" s="198"/>
      <c r="G12" s="289">
        <f>SUM(D13:D13)</f>
        <v>0</v>
      </c>
      <c r="H12" s="605">
        <f>F13</f>
        <v>0</v>
      </c>
    </row>
    <row r="13" spans="1:10" ht="31.5">
      <c r="A13" s="389" t="s">
        <v>131</v>
      </c>
      <c r="B13" s="43"/>
      <c r="C13" s="32" t="s">
        <v>129</v>
      </c>
      <c r="D13" s="563">
        <f>Затраты!I16</f>
        <v>0</v>
      </c>
      <c r="E13" s="563">
        <f>D13/$G$10/12</f>
        <v>0</v>
      </c>
      <c r="F13" s="595">
        <f>D13/$H$10/12</f>
        <v>0</v>
      </c>
      <c r="G13" s="282"/>
      <c r="I13" s="363">
        <v>0.81</v>
      </c>
      <c r="J13" s="363" t="s">
        <v>92</v>
      </c>
    </row>
    <row r="14" spans="1:8" ht="15" customHeight="1">
      <c r="A14" s="644" t="s">
        <v>148</v>
      </c>
      <c r="B14" s="645"/>
      <c r="C14" s="645"/>
      <c r="D14" s="871"/>
      <c r="E14" s="646"/>
      <c r="F14" s="647"/>
      <c r="G14" s="287">
        <f>SUM(D15:D21)</f>
        <v>69563.54068469611</v>
      </c>
      <c r="H14" s="288">
        <f>SUM(F15:F21)</f>
        <v>9.493877700171431</v>
      </c>
    </row>
    <row r="15" spans="1:21" ht="31.5" customHeight="1">
      <c r="A15" s="392" t="s">
        <v>121</v>
      </c>
      <c r="B15" s="37">
        <v>2</v>
      </c>
      <c r="C15" s="376" t="s">
        <v>129</v>
      </c>
      <c r="D15" s="872">
        <f>Затраты!I18</f>
        <v>6266.607071452885</v>
      </c>
      <c r="E15" s="559">
        <f aca="true" t="shared" si="0" ref="E15:E21">D15/$G$10/12</f>
        <v>0.5363225387228171</v>
      </c>
      <c r="F15" s="596">
        <f aca="true" t="shared" si="1" ref="F15:F21">D15/$H$10/12</f>
        <v>0.8552526301251344</v>
      </c>
      <c r="G15" s="282"/>
      <c r="I15" s="363">
        <v>1.3</v>
      </c>
      <c r="J15" s="363" t="s">
        <v>92</v>
      </c>
      <c r="M15" s="30"/>
      <c r="N15" s="31"/>
      <c r="O15" s="31"/>
      <c r="P15" s="31"/>
      <c r="Q15" s="31"/>
      <c r="R15" s="31"/>
      <c r="S15" s="31"/>
      <c r="T15" s="31"/>
      <c r="U15" s="31"/>
    </row>
    <row r="16" spans="1:7" ht="31.5" customHeight="1">
      <c r="A16" s="389" t="s">
        <v>569</v>
      </c>
      <c r="B16" s="43">
        <v>2</v>
      </c>
      <c r="C16" s="377" t="s">
        <v>129</v>
      </c>
      <c r="D16" s="873">
        <f>Затраты!I19</f>
        <v>3322.6900373426274</v>
      </c>
      <c r="E16" s="559">
        <f t="shared" si="0"/>
        <v>0.2843697611638276</v>
      </c>
      <c r="F16" s="596">
        <f t="shared" si="1"/>
        <v>0.4534733646335063</v>
      </c>
      <c r="G16" s="282"/>
    </row>
    <row r="17" spans="1:7" ht="30.75" customHeight="1">
      <c r="A17" s="389" t="s">
        <v>122</v>
      </c>
      <c r="B17" s="43"/>
      <c r="C17" s="377" t="s">
        <v>129</v>
      </c>
      <c r="D17" s="873">
        <f>Затраты!I20</f>
        <v>0</v>
      </c>
      <c r="E17" s="559">
        <f t="shared" si="0"/>
        <v>0</v>
      </c>
      <c r="F17" s="596">
        <f t="shared" si="1"/>
        <v>0</v>
      </c>
      <c r="G17" s="282"/>
    </row>
    <row r="18" spans="1:6" ht="30" customHeight="1">
      <c r="A18" s="389" t="s">
        <v>123</v>
      </c>
      <c r="B18" s="43">
        <v>2</v>
      </c>
      <c r="C18" s="377" t="s">
        <v>129</v>
      </c>
      <c r="D18" s="873">
        <f>Затраты!I21</f>
        <v>15474.897700789952</v>
      </c>
      <c r="E18" s="559">
        <f t="shared" si="0"/>
        <v>1.3244067047336578</v>
      </c>
      <c r="F18" s="596">
        <f t="shared" si="1"/>
        <v>2.1119797058617142</v>
      </c>
    </row>
    <row r="19" spans="1:7" ht="60.75" customHeight="1">
      <c r="A19" s="389" t="s">
        <v>124</v>
      </c>
      <c r="B19" s="634">
        <v>1</v>
      </c>
      <c r="C19" s="635" t="s">
        <v>411</v>
      </c>
      <c r="D19" s="873">
        <f>Затраты!I22</f>
        <v>21519.04467511065</v>
      </c>
      <c r="E19" s="559">
        <f t="shared" si="0"/>
        <v>1.8416901745156489</v>
      </c>
      <c r="F19" s="596">
        <f t="shared" si="1"/>
        <v>2.936871475476396</v>
      </c>
      <c r="G19" s="282"/>
    </row>
    <row r="20" spans="1:7" ht="31.5">
      <c r="A20" s="389" t="s">
        <v>560</v>
      </c>
      <c r="B20" s="906">
        <f>Освещен!D9</f>
        <v>10.916666666666666</v>
      </c>
      <c r="C20" s="32" t="s">
        <v>561</v>
      </c>
      <c r="D20" s="873">
        <f>Затраты!I23</f>
        <v>1247.9715</v>
      </c>
      <c r="E20" s="559">
        <f t="shared" si="0"/>
        <v>0.10680663962206018</v>
      </c>
      <c r="F20" s="596">
        <f t="shared" si="1"/>
        <v>0.17032038159187687</v>
      </c>
      <c r="G20" s="282"/>
    </row>
    <row r="21" spans="1:7" ht="31.5">
      <c r="A21" s="13" t="s">
        <v>171</v>
      </c>
      <c r="B21" s="36">
        <v>6</v>
      </c>
      <c r="C21" s="378" t="s">
        <v>129</v>
      </c>
      <c r="D21" s="874">
        <f>Затраты!I24</f>
        <v>21732.3297</v>
      </c>
      <c r="E21" s="564">
        <f t="shared" si="0"/>
        <v>1.8599440022594225</v>
      </c>
      <c r="F21" s="596">
        <f t="shared" si="1"/>
        <v>2.965980142482804</v>
      </c>
      <c r="G21" s="282"/>
    </row>
    <row r="22" spans="1:8" ht="17.25" customHeight="1">
      <c r="A22" s="648" t="s">
        <v>125</v>
      </c>
      <c r="B22" s="649"/>
      <c r="C22" s="649"/>
      <c r="D22" s="875"/>
      <c r="E22" s="650"/>
      <c r="F22" s="651"/>
      <c r="G22" s="283">
        <f>SUM(D23:D27)</f>
        <v>58181.7723713945</v>
      </c>
      <c r="H22" s="284">
        <f>SUM(F23:F27)</f>
        <v>7.940519212167608</v>
      </c>
    </row>
    <row r="23" spans="1:7" ht="32.25" customHeight="1">
      <c r="A23" s="392" t="s">
        <v>240</v>
      </c>
      <c r="B23" s="37">
        <v>1</v>
      </c>
      <c r="C23" s="376" t="s">
        <v>130</v>
      </c>
      <c r="D23" s="876">
        <f>Затраты!I26</f>
        <v>0</v>
      </c>
      <c r="E23" s="559">
        <f>D23/$G$10/12</f>
        <v>0</v>
      </c>
      <c r="F23" s="596">
        <f>D23/$H$10/12</f>
        <v>0</v>
      </c>
      <c r="G23" s="282"/>
    </row>
    <row r="24" spans="1:10" ht="80.25" customHeight="1">
      <c r="A24" s="939" t="s">
        <v>574</v>
      </c>
      <c r="B24" s="43">
        <v>2</v>
      </c>
      <c r="C24" s="377" t="s">
        <v>130</v>
      </c>
      <c r="D24" s="876">
        <f>Затраты!I27+Затраты!I28</f>
        <v>53055.77603284127</v>
      </c>
      <c r="E24" s="559">
        <f>D24/$G$10/12</f>
        <v>4.540736026911204</v>
      </c>
      <c r="F24" s="596">
        <f>D24/$H$10/12</f>
        <v>7.240934604329248</v>
      </c>
      <c r="G24" s="282"/>
      <c r="I24" s="369" t="s">
        <v>402</v>
      </c>
      <c r="J24" s="368" t="s">
        <v>403</v>
      </c>
    </row>
    <row r="25" spans="1:10" ht="47.25" customHeight="1">
      <c r="A25" s="389" t="s">
        <v>242</v>
      </c>
      <c r="B25" s="634">
        <v>1</v>
      </c>
      <c r="C25" s="633" t="s">
        <v>442</v>
      </c>
      <c r="D25" s="876">
        <f>Затраты!I29</f>
        <v>1663.346927842095</v>
      </c>
      <c r="E25" s="559">
        <f>D25/$G$10/12</f>
        <v>0.14235621237223092</v>
      </c>
      <c r="F25" s="596">
        <f>D25/$H$10/12</f>
        <v>0.22700989843898012</v>
      </c>
      <c r="I25" s="363">
        <v>0.38</v>
      </c>
      <c r="J25" s="363" t="s">
        <v>92</v>
      </c>
    </row>
    <row r="26" spans="1:10" ht="66" customHeight="1">
      <c r="A26" s="389" t="s">
        <v>243</v>
      </c>
      <c r="B26" s="43">
        <v>2</v>
      </c>
      <c r="C26" s="377" t="s">
        <v>130</v>
      </c>
      <c r="D26" s="876">
        <f>Затраты!I30</f>
        <v>2447.4435767763143</v>
      </c>
      <c r="E26" s="559">
        <f>D26/$G$10/12</f>
        <v>0.20946249501697256</v>
      </c>
      <c r="F26" s="596">
        <f>D26/$H$10/12</f>
        <v>0.334021669502172</v>
      </c>
      <c r="G26" s="282"/>
      <c r="I26" s="369" t="s">
        <v>398</v>
      </c>
      <c r="J26" s="368" t="s">
        <v>399</v>
      </c>
    </row>
    <row r="27" spans="1:10" ht="33" customHeight="1">
      <c r="A27" s="13" t="s">
        <v>249</v>
      </c>
      <c r="B27" s="36">
        <v>1</v>
      </c>
      <c r="C27" s="378" t="s">
        <v>108</v>
      </c>
      <c r="D27" s="876">
        <f>Затраты!I31</f>
        <v>1015.2058339348237</v>
      </c>
      <c r="E27" s="559">
        <f>D27/$G$10/12</f>
        <v>0.08688557683191465</v>
      </c>
      <c r="F27" s="596">
        <f>D27/$H$10/12</f>
        <v>0.13855303989720816</v>
      </c>
      <c r="G27" s="282"/>
      <c r="I27" s="363">
        <v>1.82</v>
      </c>
      <c r="J27" s="363" t="s">
        <v>397</v>
      </c>
    </row>
    <row r="28" spans="1:8" ht="17.25" customHeight="1">
      <c r="A28" s="657" t="s">
        <v>126</v>
      </c>
      <c r="B28" s="652"/>
      <c r="C28" s="652"/>
      <c r="D28" s="877"/>
      <c r="E28" s="652"/>
      <c r="F28" s="653"/>
      <c r="G28" s="285">
        <f>SUM(D29:D39)</f>
        <v>17687.52701422418</v>
      </c>
      <c r="H28" s="286">
        <f>SUM(F29:F39)</f>
        <v>2.413954445657847</v>
      </c>
    </row>
    <row r="29" spans="1:10" s="31" customFormat="1" ht="29.25" customHeight="1">
      <c r="A29" s="1111" t="s">
        <v>244</v>
      </c>
      <c r="B29" s="1113" t="s">
        <v>12</v>
      </c>
      <c r="C29" s="1114"/>
      <c r="D29" s="876"/>
      <c r="E29" s="559"/>
      <c r="F29" s="596">
        <f aca="true" t="shared" si="2" ref="F29:F39">D29/$H$10/12</f>
        <v>0</v>
      </c>
      <c r="G29" s="361"/>
      <c r="I29" s="369">
        <v>72.08</v>
      </c>
      <c r="J29" s="368" t="s">
        <v>13</v>
      </c>
    </row>
    <row r="30" spans="1:10" s="31" customFormat="1" ht="17.25" customHeight="1">
      <c r="A30" s="1112"/>
      <c r="B30" s="43">
        <v>2</v>
      </c>
      <c r="C30" s="379" t="s">
        <v>132</v>
      </c>
      <c r="D30" s="876">
        <f>Затраты!I34</f>
        <v>0</v>
      </c>
      <c r="E30" s="559">
        <f>D30/$G$10/12</f>
        <v>0</v>
      </c>
      <c r="F30" s="596">
        <f t="shared" si="2"/>
        <v>0</v>
      </c>
      <c r="G30" s="361"/>
      <c r="I30" s="366"/>
      <c r="J30" s="363"/>
    </row>
    <row r="31" spans="1:10" s="31" customFormat="1" ht="31.5" customHeight="1">
      <c r="A31" s="1112"/>
      <c r="B31" s="1109" t="s">
        <v>110</v>
      </c>
      <c r="C31" s="1110"/>
      <c r="D31" s="876"/>
      <c r="E31" s="559"/>
      <c r="F31" s="596">
        <f t="shared" si="2"/>
        <v>0</v>
      </c>
      <c r="G31" s="361"/>
      <c r="I31" s="366">
        <v>0.16</v>
      </c>
      <c r="J31" s="363" t="s">
        <v>397</v>
      </c>
    </row>
    <row r="32" spans="1:10" s="31" customFormat="1" ht="16.5" customHeight="1">
      <c r="A32" s="1112"/>
      <c r="B32" s="43">
        <v>2</v>
      </c>
      <c r="C32" s="379" t="s">
        <v>132</v>
      </c>
      <c r="D32" s="876">
        <f>Затраты!I35</f>
        <v>2091.544756906151</v>
      </c>
      <c r="E32" s="559">
        <f>D32/$G$10/12</f>
        <v>0.1790031800440032</v>
      </c>
      <c r="F32" s="596">
        <f t="shared" si="2"/>
        <v>0.28544938815729765</v>
      </c>
      <c r="G32" s="361"/>
      <c r="I32" s="366"/>
      <c r="J32" s="363"/>
    </row>
    <row r="33" spans="1:10" s="31" customFormat="1" ht="26.25" customHeight="1">
      <c r="A33" s="1112"/>
      <c r="B33" s="1109" t="s">
        <v>349</v>
      </c>
      <c r="C33" s="1110"/>
      <c r="D33" s="876"/>
      <c r="E33" s="559"/>
      <c r="F33" s="596">
        <f t="shared" si="2"/>
        <v>0</v>
      </c>
      <c r="G33" s="361"/>
      <c r="I33" s="366"/>
      <c r="J33" s="363"/>
    </row>
    <row r="34" spans="1:10" s="31" customFormat="1" ht="16.5" customHeight="1">
      <c r="A34" s="1112"/>
      <c r="B34" s="43">
        <v>12</v>
      </c>
      <c r="C34" s="379" t="s">
        <v>132</v>
      </c>
      <c r="D34" s="876">
        <f>Затраты!I36</f>
        <v>192.10007351943605</v>
      </c>
      <c r="E34" s="559">
        <f>D34/$G$10/12</f>
        <v>0.01644073067675157</v>
      </c>
      <c r="F34" s="596">
        <f t="shared" si="2"/>
        <v>0.026217391844010816</v>
      </c>
      <c r="G34" s="361"/>
      <c r="I34" s="366"/>
      <c r="J34" s="363"/>
    </row>
    <row r="35" spans="1:10" s="31" customFormat="1" ht="27" customHeight="1">
      <c r="A35" s="1112"/>
      <c r="B35" s="1109" t="s">
        <v>14</v>
      </c>
      <c r="C35" s="1110"/>
      <c r="D35" s="876"/>
      <c r="E35" s="559"/>
      <c r="F35" s="596">
        <f t="shared" si="2"/>
        <v>0</v>
      </c>
      <c r="G35" s="361"/>
      <c r="I35" s="369" t="s">
        <v>400</v>
      </c>
      <c r="J35" s="368" t="s">
        <v>401</v>
      </c>
    </row>
    <row r="36" spans="1:10" s="31" customFormat="1" ht="15.75" customHeight="1">
      <c r="A36" s="1112"/>
      <c r="B36" s="43">
        <v>12</v>
      </c>
      <c r="C36" s="379" t="s">
        <v>130</v>
      </c>
      <c r="D36" s="876">
        <f>Затраты!I37</f>
        <v>447.8501837985903</v>
      </c>
      <c r="E36" s="559">
        <f>D36/$G$10/12</f>
        <v>0.038328898685306076</v>
      </c>
      <c r="F36" s="596">
        <f t="shared" si="2"/>
        <v>0.06112159949211026</v>
      </c>
      <c r="G36" s="361"/>
      <c r="I36" s="366"/>
      <c r="J36" s="363"/>
    </row>
    <row r="37" spans="1:10" s="31" customFormat="1" ht="55.5" customHeight="1">
      <c r="A37" s="558" t="s">
        <v>245</v>
      </c>
      <c r="B37" s="1115" t="s">
        <v>392</v>
      </c>
      <c r="C37" s="1116"/>
      <c r="D37" s="876">
        <f>Затраты!I38</f>
        <v>10515.960000000001</v>
      </c>
      <c r="E37" s="559">
        <f>D37/$G$10/12</f>
        <v>0.9</v>
      </c>
      <c r="F37" s="596">
        <f t="shared" si="2"/>
        <v>1.4351948902718636</v>
      </c>
      <c r="G37" s="361"/>
      <c r="I37" s="366">
        <v>0.97</v>
      </c>
      <c r="J37" s="363" t="s">
        <v>92</v>
      </c>
    </row>
    <row r="38" spans="1:10" s="31" customFormat="1" ht="16.5" customHeight="1">
      <c r="A38" s="560" t="s">
        <v>246</v>
      </c>
      <c r="B38" s="561">
        <v>1</v>
      </c>
      <c r="C38" s="60" t="s">
        <v>130</v>
      </c>
      <c r="D38" s="876">
        <f>Затраты!I39</f>
        <v>2103.192</v>
      </c>
      <c r="E38" s="559">
        <f>D38/$G$10/12</f>
        <v>0.17999999999999997</v>
      </c>
      <c r="F38" s="596">
        <f t="shared" si="2"/>
        <v>0.28703897805437273</v>
      </c>
      <c r="G38" s="361"/>
      <c r="I38" s="1108">
        <v>1.46</v>
      </c>
      <c r="J38" s="1108" t="s">
        <v>92</v>
      </c>
    </row>
    <row r="39" spans="1:10" s="31" customFormat="1" ht="15.75" customHeight="1">
      <c r="A39" s="560" t="s">
        <v>247</v>
      </c>
      <c r="B39" s="562">
        <v>1</v>
      </c>
      <c r="C39" s="61" t="s">
        <v>130</v>
      </c>
      <c r="D39" s="876">
        <f>Затраты!I40</f>
        <v>2336.88</v>
      </c>
      <c r="E39" s="559">
        <f>D39/$G$10/12</f>
        <v>0.19999999999999998</v>
      </c>
      <c r="F39" s="596">
        <f t="shared" si="2"/>
        <v>0.31893219783819193</v>
      </c>
      <c r="G39" s="361"/>
      <c r="I39" s="1108"/>
      <c r="J39" s="1108"/>
    </row>
    <row r="40" spans="1:8" ht="13.5" customHeight="1">
      <c r="A40" s="654" t="s">
        <v>576</v>
      </c>
      <c r="B40" s="655"/>
      <c r="C40" s="655"/>
      <c r="D40" s="878">
        <f>SUM(D13:D39)</f>
        <v>145432.84007031482</v>
      </c>
      <c r="E40" s="878">
        <f>SUM(E13:E39)</f>
        <v>12.446752941555815</v>
      </c>
      <c r="F40" s="656"/>
      <c r="G40" s="262"/>
      <c r="H40" s="290"/>
    </row>
    <row r="41" spans="1:8" ht="15.75" customHeight="1">
      <c r="A41" s="940" t="s">
        <v>575</v>
      </c>
      <c r="B41" s="941"/>
      <c r="C41" s="941"/>
      <c r="D41" s="942">
        <f>D40*0.1</f>
        <v>14543.284007031483</v>
      </c>
      <c r="E41" s="941"/>
      <c r="F41" s="943"/>
      <c r="G41" s="944"/>
      <c r="H41" s="945"/>
    </row>
    <row r="42" spans="1:8" ht="13.5" customHeight="1">
      <c r="A42" s="654" t="s">
        <v>577</v>
      </c>
      <c r="B42" s="655"/>
      <c r="C42" s="655"/>
      <c r="D42" s="946">
        <f>D40+D41</f>
        <v>159976.1240773463</v>
      </c>
      <c r="E42" s="947">
        <f>D42/$G$10/12</f>
        <v>13.6914282357114</v>
      </c>
      <c r="F42" s="656"/>
      <c r="G42" s="926">
        <f>G12+G14+G22+G28+G40+D41</f>
        <v>159976.12407734626</v>
      </c>
      <c r="H42" s="290"/>
    </row>
    <row r="43" spans="1:46" s="291" customFormat="1" ht="15.75">
      <c r="A43" s="807"/>
      <c r="B43" s="808"/>
      <c r="C43" s="808"/>
      <c r="D43" s="879"/>
      <c r="E43" s="810"/>
      <c r="F43" s="809"/>
      <c r="I43" s="364"/>
      <c r="J43" s="363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</row>
    <row r="44" spans="1:11" ht="15.75">
      <c r="A44" s="881" t="s">
        <v>538</v>
      </c>
      <c r="B44" s="882">
        <f>G10-C44</f>
        <v>0</v>
      </c>
      <c r="C44" s="881">
        <f>'Приложение №1'!F32</f>
        <v>973.7</v>
      </c>
      <c r="D44" s="926">
        <v>143247.73965358248</v>
      </c>
      <c r="E44" s="883">
        <f>D44/C44/12</f>
        <v>12.259742875422141</v>
      </c>
      <c r="F44" s="1014" t="s">
        <v>461</v>
      </c>
      <c r="G44" s="884">
        <f>E42/E44</f>
        <v>1.116779395362316</v>
      </c>
      <c r="K44" s="28" t="s">
        <v>461</v>
      </c>
    </row>
    <row r="45" spans="4:7" ht="15.75">
      <c r="D45" s="885">
        <f>D44/1.18</f>
        <v>121396.38953693431</v>
      </c>
      <c r="E45" s="886">
        <f>E44/1.18</f>
        <v>10.389612606289951</v>
      </c>
      <c r="F45" s="1015" t="s">
        <v>539</v>
      </c>
      <c r="G45" s="887">
        <f>E42/E45</f>
        <v>1.3177996865275328</v>
      </c>
    </row>
    <row r="46" spans="4:11" ht="15.75">
      <c r="D46" s="810"/>
      <c r="E46" s="810"/>
      <c r="F46" s="1016"/>
      <c r="G46" s="812"/>
      <c r="K46" s="28" t="s">
        <v>462</v>
      </c>
    </row>
    <row r="47" spans="4:11" ht="15">
      <c r="D47" s="888">
        <f>E47*G10*12</f>
        <v>104692.22400000002</v>
      </c>
      <c r="E47" s="888">
        <v>8.96</v>
      </c>
      <c r="F47" s="1017" t="s">
        <v>462</v>
      </c>
      <c r="G47" s="889">
        <f>E42/E47</f>
        <v>1.5280611870213616</v>
      </c>
      <c r="K47" s="28" t="s">
        <v>481</v>
      </c>
    </row>
    <row r="48" spans="4:6" ht="15">
      <c r="D48" s="890">
        <f>D42-D47</f>
        <v>55283.900077346276</v>
      </c>
      <c r="E48" s="890">
        <f>E42-E47</f>
        <v>4.7314282357114</v>
      </c>
      <c r="F48" s="1018" t="s">
        <v>540</v>
      </c>
    </row>
  </sheetData>
  <sheetProtection/>
  <mergeCells count="14">
    <mergeCell ref="A9:E9"/>
    <mergeCell ref="A8:E8"/>
    <mergeCell ref="B11:C11"/>
    <mergeCell ref="C3:D3"/>
    <mergeCell ref="I38:I39"/>
    <mergeCell ref="J38:J39"/>
    <mergeCell ref="B31:C31"/>
    <mergeCell ref="B33:C33"/>
    <mergeCell ref="D1:E1"/>
    <mergeCell ref="A29:A36"/>
    <mergeCell ref="B29:C29"/>
    <mergeCell ref="B37:C37"/>
    <mergeCell ref="B35:C35"/>
    <mergeCell ref="C2:D2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7" sqref="A27:E27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33"/>
      <c r="B1" s="33"/>
      <c r="C1" s="28"/>
      <c r="D1" s="1107" t="s">
        <v>531</v>
      </c>
      <c r="E1" s="1107"/>
    </row>
    <row r="2" spans="1:5" ht="12.75" customHeight="1">
      <c r="A2" s="33"/>
      <c r="B2" s="33"/>
      <c r="C2" s="1117" t="s">
        <v>127</v>
      </c>
      <c r="D2" s="1117"/>
      <c r="E2" s="692"/>
    </row>
    <row r="3" spans="1:5" ht="45" customHeight="1">
      <c r="A3" s="33"/>
      <c r="B3" s="33"/>
      <c r="C3" s="1121" t="s">
        <v>458</v>
      </c>
      <c r="D3" s="1121"/>
      <c r="E3" s="1121"/>
    </row>
    <row r="4" spans="1:5" ht="22.5" customHeight="1">
      <c r="A4" s="33"/>
      <c r="B4" s="33"/>
      <c r="C4" s="566"/>
      <c r="D4" s="300" t="s">
        <v>459</v>
      </c>
      <c r="E4" s="33"/>
    </row>
    <row r="5" spans="1:5" ht="15.75">
      <c r="A5" s="33"/>
      <c r="B5" s="33"/>
      <c r="C5" s="796" t="s">
        <v>618</v>
      </c>
      <c r="D5" s="300"/>
      <c r="E5" s="33"/>
    </row>
    <row r="6" spans="1:5" ht="12" customHeight="1">
      <c r="A6" s="33"/>
      <c r="B6" s="33"/>
      <c r="C6" s="693" t="s">
        <v>486</v>
      </c>
      <c r="D6" s="797"/>
      <c r="E6" s="33"/>
    </row>
    <row r="7" spans="1:5" ht="17.25" customHeight="1">
      <c r="A7" s="33"/>
      <c r="B7" s="33"/>
      <c r="C7" s="8" t="s">
        <v>534</v>
      </c>
      <c r="D7" s="798"/>
      <c r="E7" s="33"/>
    </row>
    <row r="8" spans="1:5" ht="30.75" customHeight="1">
      <c r="A8" s="1128" t="s">
        <v>117</v>
      </c>
      <c r="B8" s="1128"/>
      <c r="C8" s="1128"/>
      <c r="D8" s="1128"/>
      <c r="E8" s="1128"/>
    </row>
    <row r="9" spans="1:8" ht="45.75" customHeight="1">
      <c r="A9" s="1129" t="s">
        <v>482</v>
      </c>
      <c r="B9" s="1129"/>
      <c r="C9" s="1129"/>
      <c r="D9" s="1129"/>
      <c r="E9" s="1129"/>
      <c r="G9" s="188">
        <f>'Приложение №1'!B32</f>
        <v>610.6</v>
      </c>
      <c r="H9" s="365">
        <f>'Приложение №1'!B31</f>
        <v>973.7</v>
      </c>
    </row>
    <row r="10" spans="1:5" ht="16.5">
      <c r="A10" s="629"/>
      <c r="B10" s="629"/>
      <c r="C10" s="629" t="str">
        <f>'Приложение №1'!B10</f>
        <v>Пушкина,19/1</v>
      </c>
      <c r="D10" s="629"/>
      <c r="E10" s="629"/>
    </row>
    <row r="11" spans="1:5" ht="84" customHeight="1">
      <c r="A11" s="801"/>
      <c r="B11" s="1119" t="s">
        <v>118</v>
      </c>
      <c r="C11" s="1120"/>
      <c r="D11" s="44" t="s">
        <v>119</v>
      </c>
      <c r="E11" s="44" t="s">
        <v>274</v>
      </c>
    </row>
    <row r="12" spans="1:5" ht="15.75" customHeight="1">
      <c r="A12" s="1134" t="s">
        <v>128</v>
      </c>
      <c r="B12" s="1135"/>
      <c r="C12" s="1135"/>
      <c r="D12" s="1135"/>
      <c r="E12" s="1136"/>
    </row>
    <row r="13" spans="1:5" ht="34.5" customHeight="1">
      <c r="A13" s="392" t="s">
        <v>33</v>
      </c>
      <c r="B13" s="12">
        <v>1</v>
      </c>
      <c r="C13" s="393" t="s">
        <v>129</v>
      </c>
      <c r="D13" s="931">
        <f>Затраты!I51</f>
        <v>4981.991526833113</v>
      </c>
      <c r="E13" s="737">
        <f>D13/12/$H$9</f>
        <v>0.4263797479402548</v>
      </c>
    </row>
    <row r="14" spans="1:5" ht="47.25">
      <c r="A14" s="389" t="s">
        <v>275</v>
      </c>
      <c r="B14" s="397">
        <v>12</v>
      </c>
      <c r="C14" s="391" t="s">
        <v>130</v>
      </c>
      <c r="D14" s="541">
        <f>Затраты!I52</f>
        <v>0</v>
      </c>
      <c r="E14" s="738">
        <f>D14/12/$H$9</f>
        <v>0</v>
      </c>
    </row>
    <row r="15" spans="1:5" ht="33" customHeight="1">
      <c r="A15" s="389" t="s">
        <v>34</v>
      </c>
      <c r="B15" s="397">
        <v>2</v>
      </c>
      <c r="C15" s="391" t="s">
        <v>130</v>
      </c>
      <c r="D15" s="541">
        <f>Затраты!I53</f>
        <v>0</v>
      </c>
      <c r="E15" s="738">
        <f>D15/12/$H$9</f>
        <v>0</v>
      </c>
    </row>
    <row r="16" spans="1:5" ht="30.75" customHeight="1">
      <c r="A16" s="389" t="s">
        <v>276</v>
      </c>
      <c r="B16" s="397">
        <v>1</v>
      </c>
      <c r="C16" s="391" t="s">
        <v>130</v>
      </c>
      <c r="D16" s="741">
        <f>Затраты!I54</f>
        <v>0</v>
      </c>
      <c r="E16" s="739">
        <f>D16/12/$H$9</f>
        <v>0</v>
      </c>
    </row>
    <row r="17" spans="1:5" ht="33" customHeight="1">
      <c r="A17" s="1137" t="s">
        <v>148</v>
      </c>
      <c r="B17" s="1138"/>
      <c r="C17" s="1138"/>
      <c r="D17" s="1138"/>
      <c r="E17" s="1139"/>
    </row>
    <row r="18" spans="1:5" ht="17.25" customHeight="1">
      <c r="A18" s="392" t="s">
        <v>277</v>
      </c>
      <c r="B18" s="12">
        <v>4</v>
      </c>
      <c r="C18" s="393" t="s">
        <v>130</v>
      </c>
      <c r="D18" s="740">
        <f>Затраты!I56</f>
        <v>0</v>
      </c>
      <c r="E18" s="738">
        <f>D18/12/$H$9</f>
        <v>0</v>
      </c>
    </row>
    <row r="19" spans="1:5" ht="15" customHeight="1">
      <c r="A19" s="389" t="s">
        <v>278</v>
      </c>
      <c r="B19" s="390"/>
      <c r="C19" s="391" t="s">
        <v>129</v>
      </c>
      <c r="D19" s="541">
        <f>Затраты!I57</f>
        <v>0</v>
      </c>
      <c r="E19" s="738">
        <f>D19/12/$H$9</f>
        <v>0</v>
      </c>
    </row>
    <row r="20" spans="1:5" ht="33.75" customHeight="1">
      <c r="A20" s="13" t="s">
        <v>279</v>
      </c>
      <c r="B20" s="95">
        <v>1</v>
      </c>
      <c r="C20" s="691" t="s">
        <v>280</v>
      </c>
      <c r="D20" s="930">
        <f>Затраты!I58</f>
        <v>3485.4606871511787</v>
      </c>
      <c r="E20" s="738">
        <f>D20/12/$H$9</f>
        <v>0.2983003566422905</v>
      </c>
    </row>
    <row r="21" spans="1:5" ht="15.75" customHeight="1">
      <c r="A21" s="1130" t="s">
        <v>281</v>
      </c>
      <c r="B21" s="1131"/>
      <c r="C21" s="1131"/>
      <c r="D21" s="1132"/>
      <c r="E21" s="1133"/>
    </row>
    <row r="22" spans="1:5" ht="81" customHeight="1">
      <c r="A22" s="199" t="s">
        <v>282</v>
      </c>
      <c r="B22" s="1143" t="s">
        <v>35</v>
      </c>
      <c r="C22" s="1144"/>
      <c r="D22" s="839">
        <f>Затраты!I60</f>
        <v>0</v>
      </c>
      <c r="E22" s="738">
        <f>D22/12/$H$9</f>
        <v>0</v>
      </c>
    </row>
    <row r="23" spans="1:5" s="743" customFormat="1" ht="15.75">
      <c r="A23" s="838" t="s">
        <v>487</v>
      </c>
      <c r="B23" s="1122" t="s">
        <v>280</v>
      </c>
      <c r="C23" s="1123"/>
      <c r="D23" s="840">
        <f>Затраты!I61</f>
        <v>5295.573730868389</v>
      </c>
      <c r="E23" s="742">
        <f>D23/12/$H$9</f>
        <v>0.45321742929618886</v>
      </c>
    </row>
    <row r="24" spans="1:5" ht="15.75" customHeight="1">
      <c r="A24" s="1124" t="s">
        <v>283</v>
      </c>
      <c r="B24" s="1125"/>
      <c r="C24" s="1125"/>
      <c r="D24" s="1126"/>
      <c r="E24" s="1127"/>
    </row>
    <row r="25" spans="1:5" ht="16.5" customHeight="1">
      <c r="A25" s="301" t="s">
        <v>284</v>
      </c>
      <c r="B25" s="1147"/>
      <c r="C25" s="1148"/>
      <c r="D25" s="541"/>
      <c r="E25" s="542">
        <f>D25/12/$H$9</f>
        <v>0</v>
      </c>
    </row>
    <row r="26" spans="1:5" ht="30.75" customHeight="1">
      <c r="A26" s="45" t="s">
        <v>285</v>
      </c>
      <c r="B26" s="1145"/>
      <c r="C26" s="1146"/>
      <c r="D26" s="541"/>
      <c r="E26" s="542">
        <f>D26/12/$H$9</f>
        <v>0</v>
      </c>
    </row>
    <row r="27" spans="1:5" ht="14.25">
      <c r="A27" s="1140" t="s">
        <v>239</v>
      </c>
      <c r="B27" s="1141"/>
      <c r="C27" s="1141"/>
      <c r="D27" s="1141"/>
      <c r="E27" s="1142"/>
    </row>
    <row r="28" spans="1:5" ht="15.75">
      <c r="A28" s="799" t="s">
        <v>113</v>
      </c>
      <c r="B28" s="800"/>
      <c r="C28" s="800"/>
      <c r="D28" s="544">
        <f>D13+D14+D15+D16+D18+D19+D20+D22+D23+D25+D26</f>
        <v>13763.025944852681</v>
      </c>
      <c r="E28" s="543">
        <f>E13+E14+E15+E16+E18+E19+E20+E22+E23+E25+E26</f>
        <v>1.177897533878734</v>
      </c>
    </row>
    <row r="30" ht="12.75">
      <c r="D30" s="880">
        <f>D28/'Приложение №2'!D42</f>
        <v>0.08603175020166412</v>
      </c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D1:E1"/>
    <mergeCell ref="A9:E9"/>
    <mergeCell ref="A21:E21"/>
    <mergeCell ref="A12:E12"/>
    <mergeCell ref="A17:E17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9.00390625" defaultRowHeight="12.75"/>
  <cols>
    <col min="1" max="1" width="33.875" style="63" customWidth="1"/>
    <col min="2" max="2" width="28.125" style="63" customWidth="1"/>
    <col min="3" max="3" width="5.75390625" style="63" customWidth="1"/>
    <col min="4" max="4" width="6.375" style="63" customWidth="1"/>
    <col min="5" max="6" width="7.00390625" style="63" customWidth="1"/>
    <col min="7" max="7" width="6.375" style="63" customWidth="1"/>
    <col min="8" max="8" width="8.125" style="63" customWidth="1"/>
    <col min="9" max="9" width="6.00390625" style="63" customWidth="1"/>
    <col min="10" max="10" width="4.00390625" style="63" customWidth="1"/>
    <col min="11" max="11" width="3.625" style="63" customWidth="1"/>
    <col min="12" max="12" width="4.125" style="63" customWidth="1"/>
    <col min="13" max="13" width="7.625" style="63" customWidth="1"/>
    <col min="14" max="14" width="8.375" style="63" customWidth="1"/>
    <col min="15" max="15" width="8.25390625" style="63" customWidth="1"/>
    <col min="16" max="16384" width="9.125" style="63" customWidth="1"/>
  </cols>
  <sheetData>
    <row r="1" spans="1:15" ht="20.25">
      <c r="A1" s="554" t="s">
        <v>409</v>
      </c>
      <c r="B1" s="465"/>
      <c r="C1" s="465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12" customHeight="1">
      <c r="A2" s="555" t="s">
        <v>439</v>
      </c>
      <c r="B2" s="465"/>
      <c r="C2" s="465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5" ht="5.25" customHeight="1">
      <c r="A3" s="465"/>
      <c r="B3" s="465"/>
      <c r="C3" s="465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15" ht="12.75" customHeight="1">
      <c r="A4" s="469" t="s">
        <v>273</v>
      </c>
      <c r="B4" s="490">
        <f>'Данные для расчета'!B3</f>
        <v>1986</v>
      </c>
      <c r="C4" s="465"/>
      <c r="D4" s="467"/>
      <c r="E4" s="466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12.75">
      <c r="A5" s="341" t="s">
        <v>270</v>
      </c>
      <c r="B5" s="482">
        <f>'Данные для расчета'!B4</f>
        <v>1.12</v>
      </c>
      <c r="C5" s="465"/>
      <c r="D5" s="467"/>
      <c r="E5" s="466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ht="12.75">
      <c r="A6" s="348" t="s">
        <v>262</v>
      </c>
      <c r="B6" s="267">
        <f>'Данные для расчета'!B5</f>
        <v>3458</v>
      </c>
      <c r="C6" s="465"/>
      <c r="D6" s="467"/>
      <c r="E6" s="466"/>
      <c r="F6" s="467"/>
      <c r="G6" s="467"/>
      <c r="H6" s="467"/>
      <c r="I6" s="467"/>
      <c r="J6" s="467"/>
      <c r="K6" s="467"/>
      <c r="L6" s="467"/>
      <c r="M6" s="467"/>
      <c r="N6" s="467"/>
      <c r="O6" s="467"/>
    </row>
    <row r="7" spans="1:15" ht="12.75">
      <c r="A7" s="110" t="s">
        <v>440</v>
      </c>
      <c r="B7" s="490">
        <f>'Данные для расчета'!B17</f>
        <v>302</v>
      </c>
      <c r="C7" s="465"/>
      <c r="D7" s="467"/>
      <c r="E7" s="466"/>
      <c r="F7" s="467"/>
      <c r="G7" s="467"/>
      <c r="H7" s="467"/>
      <c r="I7" s="467"/>
      <c r="J7" s="467"/>
      <c r="K7" s="467"/>
      <c r="L7" s="467"/>
      <c r="M7" s="467"/>
      <c r="N7" s="467"/>
      <c r="O7" s="467"/>
    </row>
    <row r="8" spans="1:15" ht="12.75">
      <c r="A8" s="711" t="s">
        <v>294</v>
      </c>
      <c r="B8" s="482">
        <f>'Данные для расчета'!B18</f>
        <v>148</v>
      </c>
      <c r="C8" s="465"/>
      <c r="D8" s="467"/>
      <c r="E8" s="466"/>
      <c r="F8" s="467"/>
      <c r="G8" s="467"/>
      <c r="H8" s="467"/>
      <c r="I8" s="467"/>
      <c r="J8" s="467"/>
      <c r="K8" s="467"/>
      <c r="L8" s="467"/>
      <c r="M8" s="467"/>
      <c r="N8" s="467"/>
      <c r="O8" s="467"/>
    </row>
    <row r="9" spans="1:15" ht="12.75">
      <c r="A9" s="712" t="s">
        <v>295</v>
      </c>
      <c r="B9" s="267">
        <f>'Данные для расчета'!B19</f>
        <v>154</v>
      </c>
      <c r="C9" s="465"/>
      <c r="D9" s="467"/>
      <c r="E9" s="466"/>
      <c r="F9" s="467"/>
      <c r="G9" s="467"/>
      <c r="H9" s="467"/>
      <c r="I9" s="467"/>
      <c r="J9" s="467"/>
      <c r="K9" s="467"/>
      <c r="L9" s="467"/>
      <c r="M9" s="467"/>
      <c r="N9" s="467"/>
      <c r="O9" s="467"/>
    </row>
    <row r="10" spans="1:15" ht="12.75">
      <c r="A10" s="394" t="s">
        <v>305</v>
      </c>
      <c r="B10" s="65"/>
      <c r="C10" s="470"/>
      <c r="D10" s="467"/>
      <c r="E10" s="468"/>
      <c r="F10" s="467"/>
      <c r="G10" s="467"/>
      <c r="H10" s="467"/>
      <c r="I10" s="467"/>
      <c r="J10" s="467"/>
      <c r="K10" s="467"/>
      <c r="L10" s="467"/>
      <c r="M10" s="467"/>
      <c r="N10" s="467"/>
      <c r="O10" s="467"/>
    </row>
    <row r="11" spans="1:15" ht="12" customHeight="1">
      <c r="A11" s="1037" t="s">
        <v>302</v>
      </c>
      <c r="B11" s="1039" t="s">
        <v>298</v>
      </c>
      <c r="C11" s="1041" t="s">
        <v>267</v>
      </c>
      <c r="D11" s="1042"/>
      <c r="E11" s="1042"/>
      <c r="F11" s="1043"/>
      <c r="G11" s="1025" t="s">
        <v>269</v>
      </c>
      <c r="H11" s="1025" t="s">
        <v>272</v>
      </c>
      <c r="I11" s="1027" t="s">
        <v>271</v>
      </c>
      <c r="J11" s="1029" t="s">
        <v>263</v>
      </c>
      <c r="K11" s="1029"/>
      <c r="L11" s="1029"/>
      <c r="M11" s="1029"/>
      <c r="N11" s="1030"/>
      <c r="O11" s="1031" t="s">
        <v>333</v>
      </c>
    </row>
    <row r="12" spans="1:15" ht="12" customHeight="1">
      <c r="A12" s="1038"/>
      <c r="B12" s="1040"/>
      <c r="C12" s="1025" t="s">
        <v>268</v>
      </c>
      <c r="D12" s="1035" t="s">
        <v>441</v>
      </c>
      <c r="E12" s="1044" t="s">
        <v>286</v>
      </c>
      <c r="F12" s="1025" t="s">
        <v>288</v>
      </c>
      <c r="G12" s="1026"/>
      <c r="H12" s="1026"/>
      <c r="I12" s="1028"/>
      <c r="J12" s="1033" t="s">
        <v>301</v>
      </c>
      <c r="K12" s="1033" t="s">
        <v>135</v>
      </c>
      <c r="L12" s="1033" t="s">
        <v>136</v>
      </c>
      <c r="M12" s="1035" t="s">
        <v>264</v>
      </c>
      <c r="N12" s="66" t="s">
        <v>265</v>
      </c>
      <c r="O12" s="1032"/>
    </row>
    <row r="13" spans="1:15" ht="12" customHeight="1">
      <c r="A13" s="1038"/>
      <c r="B13" s="1040"/>
      <c r="C13" s="1026"/>
      <c r="D13" s="1036"/>
      <c r="E13" s="1045"/>
      <c r="F13" s="1026"/>
      <c r="G13" s="1026"/>
      <c r="H13" s="1026"/>
      <c r="I13" s="1028"/>
      <c r="J13" s="1034"/>
      <c r="K13" s="1034"/>
      <c r="L13" s="1034"/>
      <c r="M13" s="1036"/>
      <c r="N13" s="90">
        <v>12</v>
      </c>
      <c r="O13" s="91">
        <f>'Данные для расчета'!$B$11</f>
        <v>0.3</v>
      </c>
    </row>
    <row r="14" spans="1:15" s="67" customFormat="1" ht="12" customHeight="1">
      <c r="A14" s="78" t="s">
        <v>131</v>
      </c>
      <c r="B14" s="78" t="s">
        <v>134</v>
      </c>
      <c r="C14" s="593">
        <f>'Приложение №1'!B36+'Приложение №1'!B37</f>
        <v>72.9</v>
      </c>
      <c r="D14" s="171">
        <v>52</v>
      </c>
      <c r="E14" s="81">
        <f>'Приложение №2'!B13</f>
        <v>0</v>
      </c>
      <c r="F14" s="74">
        <f>D14*E14</f>
        <v>0</v>
      </c>
      <c r="G14" s="82">
        <v>0.59</v>
      </c>
      <c r="H14" s="75">
        <f>C14*F14*G14/60</f>
        <v>0</v>
      </c>
      <c r="I14" s="73"/>
      <c r="J14" s="73"/>
      <c r="K14" s="73"/>
      <c r="L14" s="73"/>
      <c r="M14" s="73"/>
      <c r="N14" s="93"/>
      <c r="O14" s="83"/>
    </row>
    <row r="15" spans="1:255" s="88" customFormat="1" ht="12" customHeight="1">
      <c r="A15" s="111" t="s">
        <v>296</v>
      </c>
      <c r="B15" s="112"/>
      <c r="C15" s="113"/>
      <c r="D15" s="113"/>
      <c r="E15" s="113"/>
      <c r="F15" s="113"/>
      <c r="G15" s="113"/>
      <c r="H15" s="114"/>
      <c r="I15" s="122">
        <f>H14/$B$4*$B$5</f>
        <v>0</v>
      </c>
      <c r="J15" s="122">
        <v>1</v>
      </c>
      <c r="K15" s="114">
        <f>'Данные для расчета'!$B$20</f>
        <v>1.2</v>
      </c>
      <c r="L15" s="114">
        <f>'Данные для расчета'!$B$23</f>
        <v>1.6</v>
      </c>
      <c r="M15" s="101">
        <f>$B$6*J15*K15*L15*I15</f>
        <v>0</v>
      </c>
      <c r="N15" s="102">
        <f>M15*$N$13</f>
        <v>0</v>
      </c>
      <c r="O15" s="103">
        <f>N15*$O$13</f>
        <v>0</v>
      </c>
      <c r="P15" s="80"/>
      <c r="Q15" s="80"/>
      <c r="W15" s="89"/>
      <c r="X15" s="89"/>
      <c r="Y15" s="77"/>
      <c r="Z15" s="77"/>
      <c r="AA15" s="77"/>
      <c r="AB15" s="77"/>
      <c r="AC15" s="77"/>
      <c r="AD15" s="86"/>
      <c r="AE15" s="87"/>
      <c r="AF15" s="80"/>
      <c r="AG15" s="80"/>
      <c r="AM15" s="89"/>
      <c r="AN15" s="89"/>
      <c r="AO15" s="77"/>
      <c r="AP15" s="77"/>
      <c r="AQ15" s="77"/>
      <c r="AR15" s="77"/>
      <c r="AS15" s="77"/>
      <c r="AT15" s="86"/>
      <c r="AU15" s="87"/>
      <c r="AV15" s="80"/>
      <c r="AW15" s="80"/>
      <c r="BC15" s="89"/>
      <c r="BD15" s="89"/>
      <c r="BE15" s="77"/>
      <c r="BF15" s="77"/>
      <c r="BG15" s="77"/>
      <c r="BH15" s="77"/>
      <c r="BI15" s="77"/>
      <c r="BJ15" s="86"/>
      <c r="BK15" s="87"/>
      <c r="BL15" s="80"/>
      <c r="BM15" s="80"/>
      <c r="BS15" s="89"/>
      <c r="BT15" s="89"/>
      <c r="BU15" s="77"/>
      <c r="BV15" s="77"/>
      <c r="BW15" s="77"/>
      <c r="BX15" s="77"/>
      <c r="BY15" s="77"/>
      <c r="BZ15" s="86"/>
      <c r="CA15" s="87"/>
      <c r="CB15" s="80"/>
      <c r="CC15" s="80"/>
      <c r="CI15" s="89"/>
      <c r="CJ15" s="89"/>
      <c r="CK15" s="77"/>
      <c r="CL15" s="77"/>
      <c r="CM15" s="77"/>
      <c r="CN15" s="77"/>
      <c r="CO15" s="77"/>
      <c r="CP15" s="86"/>
      <c r="CQ15" s="87"/>
      <c r="CR15" s="80"/>
      <c r="CS15" s="80"/>
      <c r="CY15" s="89"/>
      <c r="CZ15" s="89"/>
      <c r="DA15" s="77"/>
      <c r="DB15" s="77"/>
      <c r="DC15" s="77"/>
      <c r="DD15" s="77"/>
      <c r="DE15" s="77"/>
      <c r="DF15" s="86"/>
      <c r="DG15" s="87"/>
      <c r="DH15" s="80"/>
      <c r="DI15" s="80"/>
      <c r="DO15" s="89"/>
      <c r="DP15" s="89"/>
      <c r="DQ15" s="77"/>
      <c r="DR15" s="77"/>
      <c r="DS15" s="77"/>
      <c r="DT15" s="77"/>
      <c r="DU15" s="77"/>
      <c r="DV15" s="86"/>
      <c r="DW15" s="87"/>
      <c r="DX15" s="80"/>
      <c r="DY15" s="80"/>
      <c r="EE15" s="89"/>
      <c r="EF15" s="89"/>
      <c r="EG15" s="77"/>
      <c r="EH15" s="77"/>
      <c r="EI15" s="77"/>
      <c r="EJ15" s="77"/>
      <c r="EK15" s="77"/>
      <c r="EL15" s="86"/>
      <c r="EM15" s="87"/>
      <c r="EN15" s="80"/>
      <c r="EO15" s="80"/>
      <c r="EU15" s="89"/>
      <c r="EV15" s="89"/>
      <c r="EW15" s="77"/>
      <c r="EX15" s="77"/>
      <c r="EY15" s="77"/>
      <c r="EZ15" s="77"/>
      <c r="FA15" s="77"/>
      <c r="FB15" s="86"/>
      <c r="FC15" s="87"/>
      <c r="FD15" s="80"/>
      <c r="FE15" s="80"/>
      <c r="FK15" s="89"/>
      <c r="FL15" s="89"/>
      <c r="FM15" s="77"/>
      <c r="FN15" s="77"/>
      <c r="FO15" s="77"/>
      <c r="FP15" s="77"/>
      <c r="FQ15" s="77"/>
      <c r="FR15" s="86"/>
      <c r="FS15" s="87"/>
      <c r="FT15" s="80"/>
      <c r="FU15" s="80"/>
      <c r="GA15" s="89"/>
      <c r="GB15" s="89"/>
      <c r="GC15" s="77"/>
      <c r="GD15" s="77"/>
      <c r="GE15" s="77"/>
      <c r="GF15" s="77"/>
      <c r="GG15" s="77"/>
      <c r="GH15" s="86"/>
      <c r="GI15" s="87"/>
      <c r="GJ15" s="80"/>
      <c r="GK15" s="80"/>
      <c r="GQ15" s="89"/>
      <c r="GR15" s="89"/>
      <c r="GS15" s="77"/>
      <c r="GT15" s="77"/>
      <c r="GU15" s="77"/>
      <c r="GV15" s="77"/>
      <c r="GW15" s="77"/>
      <c r="GX15" s="86"/>
      <c r="GY15" s="87"/>
      <c r="GZ15" s="80"/>
      <c r="HA15" s="80"/>
      <c r="HG15" s="89"/>
      <c r="HH15" s="89"/>
      <c r="HI15" s="77"/>
      <c r="HJ15" s="77"/>
      <c r="HK15" s="77"/>
      <c r="HL15" s="77"/>
      <c r="HM15" s="77"/>
      <c r="HN15" s="86"/>
      <c r="HO15" s="87"/>
      <c r="HP15" s="80"/>
      <c r="HQ15" s="80"/>
      <c r="HW15" s="89"/>
      <c r="HX15" s="89"/>
      <c r="HY15" s="77"/>
      <c r="HZ15" s="77"/>
      <c r="IA15" s="77"/>
      <c r="IB15" s="77"/>
      <c r="IC15" s="77"/>
      <c r="ID15" s="86"/>
      <c r="IE15" s="87"/>
      <c r="IF15" s="80"/>
      <c r="IG15" s="80"/>
      <c r="IM15" s="89"/>
      <c r="IN15" s="89"/>
      <c r="IO15" s="77"/>
      <c r="IP15" s="77"/>
      <c r="IQ15" s="77"/>
      <c r="IR15" s="77"/>
      <c r="IS15" s="77"/>
      <c r="IT15" s="86"/>
      <c r="IU15" s="87"/>
    </row>
    <row r="16" spans="1:15" s="69" customFormat="1" ht="12" customHeight="1">
      <c r="A16" s="78" t="s">
        <v>121</v>
      </c>
      <c r="B16" s="1046" t="s">
        <v>137</v>
      </c>
      <c r="C16" s="73"/>
      <c r="D16" s="73"/>
      <c r="E16" s="73"/>
      <c r="F16" s="81"/>
      <c r="G16" s="72"/>
      <c r="H16" s="216">
        <f>SUM(H17:H18)</f>
        <v>103.12788888888889</v>
      </c>
      <c r="I16" s="216">
        <f>SUM(I17:I18)</f>
        <v>0.05815872887993735</v>
      </c>
      <c r="J16" s="210">
        <v>1</v>
      </c>
      <c r="K16" s="717">
        <f>'Данные для расчета'!$B$20</f>
        <v>1.2</v>
      </c>
      <c r="L16" s="717">
        <f>'Данные для расчета'!$B$23</f>
        <v>1.6</v>
      </c>
      <c r="M16" s="211">
        <f>$B$6*J16*K16*L16*I16</f>
        <v>386.1367381763008</v>
      </c>
      <c r="N16" s="203">
        <f aca="true" t="shared" si="0" ref="N16:N25">M16*$N$13</f>
        <v>4633.64085811561</v>
      </c>
      <c r="O16" s="204">
        <f aca="true" t="shared" si="1" ref="O16:O25">N16*$O$13</f>
        <v>1390.092257434683</v>
      </c>
    </row>
    <row r="17" spans="1:15" s="67" customFormat="1" ht="12" customHeight="1">
      <c r="A17" s="70" t="s">
        <v>290</v>
      </c>
      <c r="B17" s="1047"/>
      <c r="C17" s="73">
        <f>'Приложение №1'!$B$40-'Приложение №1'!$B$41</f>
        <v>578</v>
      </c>
      <c r="D17" s="171">
        <f>B8/6</f>
        <v>24.666666666666668</v>
      </c>
      <c r="E17" s="73">
        <f>'Приложение №2'!$B$15</f>
        <v>2</v>
      </c>
      <c r="F17" s="74">
        <f>D17*E17</f>
        <v>49.333333333333336</v>
      </c>
      <c r="G17" s="72">
        <v>0.08</v>
      </c>
      <c r="H17" s="85">
        <f>C17*F17*G17/60</f>
        <v>38.01955555555556</v>
      </c>
      <c r="I17" s="92">
        <f>H17/$B$4*$B$5</f>
        <v>0.021441038379769507</v>
      </c>
      <c r="J17" s="202"/>
      <c r="K17" s="202"/>
      <c r="L17" s="202"/>
      <c r="M17" s="212"/>
      <c r="N17" s="205"/>
      <c r="O17" s="206"/>
    </row>
    <row r="18" spans="1:15" s="67" customFormat="1" ht="12" customHeight="1">
      <c r="A18" s="70" t="s">
        <v>291</v>
      </c>
      <c r="B18" s="1047"/>
      <c r="C18" s="73">
        <f>'Приложение №1'!B42</f>
        <v>601</v>
      </c>
      <c r="D18" s="171">
        <v>25</v>
      </c>
      <c r="E18" s="73">
        <f>'Приложение №2'!$B$15</f>
        <v>2</v>
      </c>
      <c r="F18" s="74">
        <f>D18*E18</f>
        <v>50</v>
      </c>
      <c r="G18" s="72">
        <v>0.13</v>
      </c>
      <c r="H18" s="85">
        <f>C18*F18*G18/60</f>
        <v>65.10833333333333</v>
      </c>
      <c r="I18" s="92">
        <f>H18/$B$4*$B$5</f>
        <v>0.03671769050016785</v>
      </c>
      <c r="J18" s="202"/>
      <c r="K18" s="202"/>
      <c r="L18" s="202"/>
      <c r="M18" s="212"/>
      <c r="N18" s="205"/>
      <c r="O18" s="206"/>
    </row>
    <row r="19" spans="1:15" s="67" customFormat="1" ht="12" customHeight="1">
      <c r="A19" s="78" t="s">
        <v>161</v>
      </c>
      <c r="B19" s="71" t="s">
        <v>160</v>
      </c>
      <c r="C19" s="73">
        <f>'Приложение №1'!B43</f>
        <v>620</v>
      </c>
      <c r="D19" s="171">
        <f>B8/6</f>
        <v>24.666666666666668</v>
      </c>
      <c r="E19" s="73">
        <f>'Приложение №2'!B16</f>
        <v>2</v>
      </c>
      <c r="F19" s="74">
        <f>D19*E19</f>
        <v>49.333333333333336</v>
      </c>
      <c r="G19" s="84">
        <v>0.077</v>
      </c>
      <c r="H19" s="85">
        <f>C19*F19*G19/60</f>
        <v>39.25288888888888</v>
      </c>
      <c r="I19" s="92">
        <f>H19/$B$4*$B$5</f>
        <v>0.022136573794338144</v>
      </c>
      <c r="J19" s="202">
        <v>1</v>
      </c>
      <c r="K19" s="717">
        <f>'Данные для расчета'!$B$20</f>
        <v>1.2</v>
      </c>
      <c r="L19" s="717">
        <f>'Данные для расчета'!$B$23</f>
        <v>1.6</v>
      </c>
      <c r="M19" s="212">
        <f>$B$6*J19*K19*L19*I19</f>
        <v>146.97268258717688</v>
      </c>
      <c r="N19" s="205">
        <f t="shared" si="0"/>
        <v>1763.6721910461224</v>
      </c>
      <c r="O19" s="206">
        <f t="shared" si="1"/>
        <v>529.1016573138367</v>
      </c>
    </row>
    <row r="20" spans="1:15" s="67" customFormat="1" ht="12" customHeight="1">
      <c r="A20" s="70" t="s">
        <v>571</v>
      </c>
      <c r="B20" s="71" t="s">
        <v>572</v>
      </c>
      <c r="C20" s="73">
        <f>'Данные для расчета'!B44</f>
        <v>2</v>
      </c>
      <c r="D20" s="171">
        <f>B8/6</f>
        <v>24.666666666666668</v>
      </c>
      <c r="E20" s="73">
        <f>'Приложение №2'!B16</f>
        <v>2</v>
      </c>
      <c r="F20" s="74">
        <f>D20*E20</f>
        <v>49.333333333333336</v>
      </c>
      <c r="G20" s="84">
        <v>4.88</v>
      </c>
      <c r="H20" s="85">
        <f>C20*F20*G20/60</f>
        <v>8.024888888888889</v>
      </c>
      <c r="I20" s="92">
        <f>H20/$B$4*$B$5</f>
        <v>0.004525617097459998</v>
      </c>
      <c r="J20" s="202">
        <v>2</v>
      </c>
      <c r="K20" s="717">
        <f>'Данные для расчета'!$B$20</f>
        <v>1.2</v>
      </c>
      <c r="L20" s="717">
        <f>'Данные для расчета'!$B$23</f>
        <v>1.6</v>
      </c>
      <c r="M20" s="212">
        <f>$B$6*J20*K20*L20*I20</f>
        <v>60.09440226438403</v>
      </c>
      <c r="N20" s="205">
        <f t="shared" si="0"/>
        <v>721.1328271726084</v>
      </c>
      <c r="O20" s="206">
        <f t="shared" si="1"/>
        <v>216.3398481517825</v>
      </c>
    </row>
    <row r="21" spans="1:15" s="68" customFormat="1" ht="12" customHeight="1">
      <c r="A21" s="78" t="s">
        <v>122</v>
      </c>
      <c r="B21" s="71"/>
      <c r="C21" s="73"/>
      <c r="D21" s="73"/>
      <c r="E21" s="73">
        <f>'Приложение №2'!$B$17</f>
        <v>0</v>
      </c>
      <c r="F21" s="81"/>
      <c r="G21" s="72"/>
      <c r="H21" s="636">
        <f>SUM(H22:H23)</f>
        <v>0</v>
      </c>
      <c r="I21" s="217">
        <f>SUM(I22:I23)</f>
        <v>0</v>
      </c>
      <c r="J21" s="202">
        <v>1</v>
      </c>
      <c r="K21" s="717">
        <f>'Данные для расчета'!$B$20</f>
        <v>1.2</v>
      </c>
      <c r="L21" s="717">
        <f>'Данные для расчета'!$B$23</f>
        <v>1.6</v>
      </c>
      <c r="M21" s="212">
        <f>$B$6*J21*K21*L21*I21</f>
        <v>0</v>
      </c>
      <c r="N21" s="205">
        <f t="shared" si="0"/>
        <v>0</v>
      </c>
      <c r="O21" s="206">
        <f t="shared" si="1"/>
        <v>0</v>
      </c>
    </row>
    <row r="22" spans="1:15" ht="12" customHeight="1">
      <c r="A22" s="70" t="s">
        <v>294</v>
      </c>
      <c r="B22" s="71" t="s">
        <v>299</v>
      </c>
      <c r="C22" s="73">
        <f>'Приложение №1'!$B$41</f>
        <v>0</v>
      </c>
      <c r="D22" s="171">
        <f>B8/6</f>
        <v>24.666666666666668</v>
      </c>
      <c r="E22" s="73">
        <f>'Приложение №2'!$B$17</f>
        <v>0</v>
      </c>
      <c r="F22" s="74">
        <f>D22*E22</f>
        <v>0</v>
      </c>
      <c r="G22" s="72">
        <v>1.46</v>
      </c>
      <c r="H22" s="85">
        <f>C22*F22*G22/60</f>
        <v>0</v>
      </c>
      <c r="I22" s="92">
        <f>H22/$B$4*$B$5</f>
        <v>0</v>
      </c>
      <c r="J22" s="202"/>
      <c r="K22" s="202"/>
      <c r="L22" s="202"/>
      <c r="M22" s="212"/>
      <c r="N22" s="205"/>
      <c r="O22" s="206"/>
    </row>
    <row r="23" spans="1:15" ht="12" customHeight="1">
      <c r="A23" s="70" t="s">
        <v>295</v>
      </c>
      <c r="B23" s="71" t="s">
        <v>340</v>
      </c>
      <c r="C23" s="73">
        <f>'Приложение №1'!$B$41</f>
        <v>0</v>
      </c>
      <c r="D23" s="171">
        <v>27</v>
      </c>
      <c r="E23" s="73">
        <f>'Приложение №2'!$B$17</f>
        <v>0</v>
      </c>
      <c r="F23" s="74">
        <f>D23*E23</f>
        <v>0</v>
      </c>
      <c r="G23" s="72">
        <v>3.6</v>
      </c>
      <c r="H23" s="85">
        <f>C23*F23*G23/60</f>
        <v>0</v>
      </c>
      <c r="I23" s="92">
        <f>H23/$B$4*$B$5</f>
        <v>0</v>
      </c>
      <c r="J23" s="202"/>
      <c r="K23" s="202"/>
      <c r="L23" s="202"/>
      <c r="M23" s="212"/>
      <c r="N23" s="205"/>
      <c r="O23" s="206"/>
    </row>
    <row r="24" spans="1:15" s="67" customFormat="1" ht="12" customHeight="1">
      <c r="A24" s="78" t="s">
        <v>123</v>
      </c>
      <c r="B24" s="71" t="s">
        <v>114</v>
      </c>
      <c r="C24" s="73">
        <f>'Приложение №1'!$B$40-'Приложение №1'!$B$41</f>
        <v>578</v>
      </c>
      <c r="D24" s="73">
        <f>B9-D25</f>
        <v>94</v>
      </c>
      <c r="E24" s="73">
        <f>'Приложение №2'!B18</f>
        <v>2</v>
      </c>
      <c r="F24" s="74">
        <f>D24*E24</f>
        <v>188</v>
      </c>
      <c r="G24" s="84">
        <v>0.14</v>
      </c>
      <c r="H24" s="85">
        <f>C24*F24*G24/60</f>
        <v>253.54933333333335</v>
      </c>
      <c r="I24" s="92">
        <f>H24/$B$4*$B$5</f>
        <v>0.14298854649211146</v>
      </c>
      <c r="J24" s="202">
        <v>1</v>
      </c>
      <c r="K24" s="717">
        <f>'Данные для расчета'!$B$20</f>
        <v>1.2</v>
      </c>
      <c r="L24" s="717">
        <f>'Данные для расчета'!$B$23</f>
        <v>1.6</v>
      </c>
      <c r="M24" s="212">
        <f>$B$6*J24*K24*L24*I24</f>
        <v>949.3524360378651</v>
      </c>
      <c r="N24" s="205">
        <f t="shared" si="0"/>
        <v>11392.229232454381</v>
      </c>
      <c r="O24" s="206">
        <f t="shared" si="1"/>
        <v>3417.6687697363145</v>
      </c>
    </row>
    <row r="25" spans="1:15" s="67" customFormat="1" ht="12" customHeight="1">
      <c r="A25" s="78" t="s">
        <v>124</v>
      </c>
      <c r="B25" s="79" t="s">
        <v>115</v>
      </c>
      <c r="C25" s="73">
        <f>'Приложение №1'!$B$40-'Приложение №1'!$B$41</f>
        <v>578</v>
      </c>
      <c r="D25" s="73">
        <v>60</v>
      </c>
      <c r="E25" s="73">
        <f>'Приложение №2'!B19</f>
        <v>1</v>
      </c>
      <c r="F25" s="74">
        <f>D25*E25</f>
        <v>60</v>
      </c>
      <c r="G25" s="84">
        <v>0.61</v>
      </c>
      <c r="H25" s="85">
        <f>C25*F25*G25/60</f>
        <v>352.58</v>
      </c>
      <c r="I25" s="207">
        <f>H25/$B$4*$B$5</f>
        <v>0.19883665659617322</v>
      </c>
      <c r="J25" s="213">
        <v>1</v>
      </c>
      <c r="K25" s="717">
        <f>'Данные для расчета'!$B$20</f>
        <v>1.2</v>
      </c>
      <c r="L25" s="717">
        <f>'Данные для расчета'!$B$23</f>
        <v>1.6</v>
      </c>
      <c r="M25" s="214">
        <f>$B$6*J25*K25*L25*I25</f>
        <v>1320.1481443383686</v>
      </c>
      <c r="N25" s="208">
        <f t="shared" si="0"/>
        <v>15841.777732060424</v>
      </c>
      <c r="O25" s="209">
        <f t="shared" si="1"/>
        <v>4752.533319618127</v>
      </c>
    </row>
    <row r="26" spans="1:255" s="88" customFormat="1" ht="12" customHeight="1">
      <c r="A26" s="115" t="s">
        <v>297</v>
      </c>
      <c r="B26" s="115"/>
      <c r="C26" s="113"/>
      <c r="D26" s="113"/>
      <c r="E26" s="113"/>
      <c r="F26" s="113"/>
      <c r="G26" s="113"/>
      <c r="H26" s="114">
        <f>H16+H19+H21+H24+H25</f>
        <v>748.5101111111112</v>
      </c>
      <c r="I26" s="381">
        <f>I16+I19+I21+I24+I25</f>
        <v>0.42212050576256016</v>
      </c>
      <c r="J26" s="114">
        <v>1</v>
      </c>
      <c r="K26" s="114">
        <f>'Данные для расчета'!$B$20</f>
        <v>1.2</v>
      </c>
      <c r="L26" s="114">
        <f>'Данные для расчета'!$B$23</f>
        <v>1.6</v>
      </c>
      <c r="M26" s="380">
        <f>$B$6*J26*K26*L26*I26</f>
        <v>2802.610001139711</v>
      </c>
      <c r="N26" s="200">
        <f>M26*$N$13</f>
        <v>33631.32001367654</v>
      </c>
      <c r="O26" s="201">
        <f>N26*$O$13</f>
        <v>10089.39600410296</v>
      </c>
      <c r="P26" s="80"/>
      <c r="Q26" s="80"/>
      <c r="W26" s="89"/>
      <c r="X26" s="89"/>
      <c r="Y26" s="77"/>
      <c r="Z26" s="77"/>
      <c r="AA26" s="77"/>
      <c r="AB26" s="77"/>
      <c r="AC26" s="77"/>
      <c r="AD26" s="86"/>
      <c r="AE26" s="87"/>
      <c r="AF26" s="80"/>
      <c r="AG26" s="80"/>
      <c r="AM26" s="89"/>
      <c r="AN26" s="89"/>
      <c r="AO26" s="77"/>
      <c r="AP26" s="77"/>
      <c r="AQ26" s="77"/>
      <c r="AR26" s="77"/>
      <c r="AS26" s="77"/>
      <c r="AT26" s="86"/>
      <c r="AU26" s="87"/>
      <c r="AV26" s="80"/>
      <c r="AW26" s="80"/>
      <c r="BC26" s="89"/>
      <c r="BD26" s="89"/>
      <c r="BE26" s="77"/>
      <c r="BF26" s="77"/>
      <c r="BG26" s="77"/>
      <c r="BH26" s="77"/>
      <c r="BI26" s="77"/>
      <c r="BJ26" s="86"/>
      <c r="BK26" s="87"/>
      <c r="BL26" s="80"/>
      <c r="BM26" s="80"/>
      <c r="BS26" s="89"/>
      <c r="BT26" s="89"/>
      <c r="BU26" s="77"/>
      <c r="BV26" s="77"/>
      <c r="BW26" s="77"/>
      <c r="BX26" s="77"/>
      <c r="BY26" s="77"/>
      <c r="BZ26" s="86"/>
      <c r="CA26" s="87"/>
      <c r="CB26" s="80"/>
      <c r="CC26" s="80"/>
      <c r="CI26" s="89"/>
      <c r="CJ26" s="89"/>
      <c r="CK26" s="77"/>
      <c r="CL26" s="77"/>
      <c r="CM26" s="77"/>
      <c r="CN26" s="77"/>
      <c r="CO26" s="77"/>
      <c r="CP26" s="86"/>
      <c r="CQ26" s="87"/>
      <c r="CR26" s="80"/>
      <c r="CS26" s="80"/>
      <c r="CY26" s="89"/>
      <c r="CZ26" s="89"/>
      <c r="DA26" s="77"/>
      <c r="DB26" s="77"/>
      <c r="DC26" s="77"/>
      <c r="DD26" s="77"/>
      <c r="DE26" s="77"/>
      <c r="DF26" s="86"/>
      <c r="DG26" s="87"/>
      <c r="DH26" s="80"/>
      <c r="DI26" s="80"/>
      <c r="DO26" s="89"/>
      <c r="DP26" s="89"/>
      <c r="DQ26" s="77"/>
      <c r="DR26" s="77"/>
      <c r="DS26" s="77"/>
      <c r="DT26" s="77"/>
      <c r="DU26" s="77"/>
      <c r="DV26" s="86"/>
      <c r="DW26" s="87"/>
      <c r="DX26" s="80"/>
      <c r="DY26" s="80"/>
      <c r="EE26" s="89"/>
      <c r="EF26" s="89"/>
      <c r="EG26" s="77"/>
      <c r="EH26" s="77"/>
      <c r="EI26" s="77"/>
      <c r="EJ26" s="77"/>
      <c r="EK26" s="77"/>
      <c r="EL26" s="86"/>
      <c r="EM26" s="87"/>
      <c r="EN26" s="80"/>
      <c r="EO26" s="80"/>
      <c r="EU26" s="89"/>
      <c r="EV26" s="89"/>
      <c r="EW26" s="77"/>
      <c r="EX26" s="77"/>
      <c r="EY26" s="77"/>
      <c r="EZ26" s="77"/>
      <c r="FA26" s="77"/>
      <c r="FB26" s="86"/>
      <c r="FC26" s="87"/>
      <c r="FD26" s="80"/>
      <c r="FE26" s="80"/>
      <c r="FK26" s="89"/>
      <c r="FL26" s="89"/>
      <c r="FM26" s="77"/>
      <c r="FN26" s="77"/>
      <c r="FO26" s="77"/>
      <c r="FP26" s="77"/>
      <c r="FQ26" s="77"/>
      <c r="FR26" s="86"/>
      <c r="FS26" s="87"/>
      <c r="FT26" s="80"/>
      <c r="FU26" s="80"/>
      <c r="GA26" s="89"/>
      <c r="GB26" s="89"/>
      <c r="GC26" s="77"/>
      <c r="GD26" s="77"/>
      <c r="GE26" s="77"/>
      <c r="GF26" s="77"/>
      <c r="GG26" s="77"/>
      <c r="GH26" s="86"/>
      <c r="GI26" s="87"/>
      <c r="GJ26" s="80"/>
      <c r="GK26" s="80"/>
      <c r="GQ26" s="89"/>
      <c r="GR26" s="89"/>
      <c r="GS26" s="77"/>
      <c r="GT26" s="77"/>
      <c r="GU26" s="77"/>
      <c r="GV26" s="77"/>
      <c r="GW26" s="77"/>
      <c r="GX26" s="86"/>
      <c r="GY26" s="87"/>
      <c r="GZ26" s="80"/>
      <c r="HA26" s="80"/>
      <c r="HG26" s="89"/>
      <c r="HH26" s="89"/>
      <c r="HI26" s="77"/>
      <c r="HJ26" s="77"/>
      <c r="HK26" s="77"/>
      <c r="HL26" s="77"/>
      <c r="HM26" s="77"/>
      <c r="HN26" s="86"/>
      <c r="HO26" s="87"/>
      <c r="HP26" s="80"/>
      <c r="HQ26" s="80"/>
      <c r="HW26" s="89"/>
      <c r="HX26" s="89"/>
      <c r="HY26" s="77"/>
      <c r="HZ26" s="77"/>
      <c r="IA26" s="77"/>
      <c r="IB26" s="77"/>
      <c r="IC26" s="77"/>
      <c r="ID26" s="86"/>
      <c r="IE26" s="87"/>
      <c r="IF26" s="80"/>
      <c r="IG26" s="80"/>
      <c r="IM26" s="89"/>
      <c r="IN26" s="89"/>
      <c r="IO26" s="77"/>
      <c r="IP26" s="77"/>
      <c r="IQ26" s="77"/>
      <c r="IR26" s="77"/>
      <c r="IS26" s="77"/>
      <c r="IT26" s="86"/>
      <c r="IU26" s="87"/>
    </row>
    <row r="27" spans="1:15" ht="12" customHeight="1">
      <c r="A27" s="465"/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</row>
    <row r="28" spans="1:15" ht="12" customHeight="1">
      <c r="A28" s="395" t="s">
        <v>32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</row>
    <row r="29" spans="1:15" ht="12" customHeight="1">
      <c r="A29" s="1037" t="s">
        <v>302</v>
      </c>
      <c r="B29" s="1039" t="s">
        <v>298</v>
      </c>
      <c r="C29" s="1041" t="s">
        <v>267</v>
      </c>
      <c r="D29" s="1042"/>
      <c r="E29" s="1042"/>
      <c r="F29" s="1043"/>
      <c r="G29" s="1025" t="s">
        <v>269</v>
      </c>
      <c r="H29" s="1025" t="s">
        <v>272</v>
      </c>
      <c r="I29" s="1027" t="s">
        <v>271</v>
      </c>
      <c r="J29" s="1029" t="s">
        <v>263</v>
      </c>
      <c r="K29" s="1029"/>
      <c r="L29" s="1029"/>
      <c r="M29" s="1029"/>
      <c r="N29" s="1030"/>
      <c r="O29" s="1031" t="s">
        <v>333</v>
      </c>
    </row>
    <row r="30" spans="1:15" ht="12" customHeight="1">
      <c r="A30" s="1038"/>
      <c r="B30" s="1040"/>
      <c r="C30" s="1025" t="s">
        <v>268</v>
      </c>
      <c r="D30" s="1035" t="s">
        <v>287</v>
      </c>
      <c r="E30" s="1044" t="s">
        <v>286</v>
      </c>
      <c r="F30" s="1025" t="s">
        <v>288</v>
      </c>
      <c r="G30" s="1026"/>
      <c r="H30" s="1026"/>
      <c r="I30" s="1028"/>
      <c r="J30" s="1033" t="s">
        <v>301</v>
      </c>
      <c r="K30" s="1033" t="s">
        <v>135</v>
      </c>
      <c r="L30" s="1033" t="s">
        <v>136</v>
      </c>
      <c r="M30" s="1035" t="s">
        <v>264</v>
      </c>
      <c r="N30" s="66" t="s">
        <v>265</v>
      </c>
      <c r="O30" s="1032"/>
    </row>
    <row r="31" spans="1:15" ht="12" customHeight="1">
      <c r="A31" s="1038"/>
      <c r="B31" s="1040"/>
      <c r="C31" s="1026"/>
      <c r="D31" s="1036"/>
      <c r="E31" s="1045"/>
      <c r="F31" s="1026"/>
      <c r="G31" s="1026"/>
      <c r="H31" s="1026"/>
      <c r="I31" s="1028"/>
      <c r="J31" s="1034"/>
      <c r="K31" s="1034"/>
      <c r="L31" s="1034"/>
      <c r="M31" s="1036"/>
      <c r="N31" s="90">
        <v>12</v>
      </c>
      <c r="O31" s="91">
        <f>'Данные для расчета'!$B$11</f>
        <v>0.3</v>
      </c>
    </row>
    <row r="32" spans="1:15" ht="12" customHeight="1">
      <c r="A32" s="398" t="s">
        <v>128</v>
      </c>
      <c r="B32" s="399"/>
      <c r="C32" s="399"/>
      <c r="D32" s="399"/>
      <c r="E32" s="399"/>
      <c r="F32" s="399"/>
      <c r="G32" s="399"/>
      <c r="H32" s="399"/>
      <c r="I32" s="409">
        <f>SUM(I33:I36)</f>
        <v>0.048100785498489444</v>
      </c>
      <c r="J32" s="409"/>
      <c r="K32" s="409"/>
      <c r="L32" s="409"/>
      <c r="M32" s="411">
        <f>SUM(M33:M36)</f>
        <v>319.3584312072509</v>
      </c>
      <c r="N32" s="718">
        <f>SUM(N33:N36)</f>
        <v>3832.3011744870105</v>
      </c>
      <c r="O32" s="718">
        <f>SUM(O33:O36)</f>
        <v>1149.690352346103</v>
      </c>
    </row>
    <row r="33" spans="1:15" ht="12" customHeight="1">
      <c r="A33" s="400" t="s">
        <v>37</v>
      </c>
      <c r="B33" s="480"/>
      <c r="C33" s="63">
        <f>C14</f>
        <v>72.9</v>
      </c>
      <c r="D33" s="63">
        <v>52</v>
      </c>
      <c r="E33" s="63">
        <f>'Приложение №3'!B13</f>
        <v>1</v>
      </c>
      <c r="F33" s="64">
        <f>D33*E33</f>
        <v>52</v>
      </c>
      <c r="G33" s="64">
        <v>1.35</v>
      </c>
      <c r="H33" s="75">
        <f>C33*F33*G33/60</f>
        <v>85.29300000000002</v>
      </c>
      <c r="I33" s="408">
        <f>H33/$B$4*$B$5</f>
        <v>0.048100785498489444</v>
      </c>
      <c r="J33" s="387">
        <v>1</v>
      </c>
      <c r="K33" s="717">
        <f>'Данные для расчета'!$B$20</f>
        <v>1.2</v>
      </c>
      <c r="L33" s="717">
        <f>'Данные для расчета'!$B$23</f>
        <v>1.6</v>
      </c>
      <c r="M33" s="356">
        <f>$B$6*J33*K33*L33*I33</f>
        <v>319.3584312072509</v>
      </c>
      <c r="N33" s="405">
        <f>M33*$N$13</f>
        <v>3832.3011744870105</v>
      </c>
      <c r="O33" s="406">
        <f>N33*$O$13</f>
        <v>1149.690352346103</v>
      </c>
    </row>
    <row r="34" spans="1:15" ht="12" customHeight="1">
      <c r="A34" s="400" t="s">
        <v>275</v>
      </c>
      <c r="B34" s="481"/>
      <c r="C34" s="63">
        <f>C35*0.15</f>
        <v>0</v>
      </c>
      <c r="D34" s="63">
        <v>1</v>
      </c>
      <c r="E34" s="63">
        <f>'Приложение №3'!B14</f>
        <v>12</v>
      </c>
      <c r="F34" s="64">
        <f aca="true" t="shared" si="2" ref="F34:F40">D34*E34</f>
        <v>12</v>
      </c>
      <c r="G34" s="64">
        <v>1.36</v>
      </c>
      <c r="H34" s="75">
        <f>C34*F34*G34/60</f>
        <v>0</v>
      </c>
      <c r="I34" s="408">
        <f>H34/$B$4*$B$5</f>
        <v>0</v>
      </c>
      <c r="J34" s="387">
        <v>1</v>
      </c>
      <c r="K34" s="717">
        <f>'Данные для расчета'!$B$20</f>
        <v>1.2</v>
      </c>
      <c r="L34" s="717">
        <f>'Данные для расчета'!$B$23</f>
        <v>1.6</v>
      </c>
      <c r="M34" s="356">
        <f>$B$6*J34*K34*L34*I34</f>
        <v>0</v>
      </c>
      <c r="N34" s="405">
        <f>M34*$N$13</f>
        <v>0</v>
      </c>
      <c r="O34" s="406">
        <f>N34*$O$13</f>
        <v>0</v>
      </c>
    </row>
    <row r="35" spans="1:15" ht="12" customHeight="1">
      <c r="A35" s="400" t="s">
        <v>34</v>
      </c>
      <c r="B35" s="481"/>
      <c r="C35" s="637"/>
      <c r="D35" s="63">
        <v>13</v>
      </c>
      <c r="E35" s="63">
        <f>'Приложение №3'!B15</f>
        <v>2</v>
      </c>
      <c r="F35" s="64">
        <f t="shared" si="2"/>
        <v>26</v>
      </c>
      <c r="G35" s="64">
        <v>3.52</v>
      </c>
      <c r="H35" s="75">
        <f>C35*F35*G35/60</f>
        <v>0</v>
      </c>
      <c r="I35" s="408">
        <f>H35/$B$4*$B$5</f>
        <v>0</v>
      </c>
      <c r="J35" s="387">
        <v>1</v>
      </c>
      <c r="K35" s="717">
        <f>'Данные для расчета'!$B$20</f>
        <v>1.2</v>
      </c>
      <c r="L35" s="717">
        <f>'Данные для расчета'!$B$23</f>
        <v>1.6</v>
      </c>
      <c r="M35" s="356">
        <f>$B$6*J35*K35*L35*I35</f>
        <v>0</v>
      </c>
      <c r="N35" s="405">
        <f>M35*$N$13</f>
        <v>0</v>
      </c>
      <c r="O35" s="406">
        <f>N35*$O$13</f>
        <v>0</v>
      </c>
    </row>
    <row r="36" spans="1:15" ht="12" customHeight="1">
      <c r="A36" s="400" t="s">
        <v>276</v>
      </c>
      <c r="B36" s="556"/>
      <c r="C36" s="63">
        <f>'Приложение №1'!B38</f>
        <v>0</v>
      </c>
      <c r="D36" s="63">
        <v>12</v>
      </c>
      <c r="E36" s="63">
        <f>'Приложение №3'!B16</f>
        <v>1</v>
      </c>
      <c r="F36" s="64">
        <f t="shared" si="2"/>
        <v>12</v>
      </c>
      <c r="G36" s="64"/>
      <c r="H36" s="75">
        <f>C36*F36*G36/60</f>
        <v>0</v>
      </c>
      <c r="I36" s="408">
        <f>H36/$B$4*$B$5</f>
        <v>0</v>
      </c>
      <c r="J36" s="387">
        <v>1</v>
      </c>
      <c r="K36" s="717">
        <f>'Данные для расчета'!$B$20</f>
        <v>1.2</v>
      </c>
      <c r="L36" s="717">
        <f>'Данные для расчета'!$B$23</f>
        <v>1.6</v>
      </c>
      <c r="M36" s="356">
        <f>$B$6*J36*K36*L36*I36</f>
        <v>0</v>
      </c>
      <c r="N36" s="405">
        <f>M36*$N$13</f>
        <v>0</v>
      </c>
      <c r="O36" s="406">
        <f>N36*$O$13</f>
        <v>0</v>
      </c>
    </row>
    <row r="37" spans="1:15" ht="14.25" customHeight="1">
      <c r="A37" s="402" t="s">
        <v>148</v>
      </c>
      <c r="B37" s="403"/>
      <c r="C37" s="403"/>
      <c r="D37" s="403"/>
      <c r="E37" s="403"/>
      <c r="F37" s="403"/>
      <c r="G37" s="403"/>
      <c r="H37" s="403"/>
      <c r="I37" s="410">
        <f>SUM(I38:I40)</f>
        <v>0.03365188318227594</v>
      </c>
      <c r="J37" s="410"/>
      <c r="K37" s="410"/>
      <c r="L37" s="410"/>
      <c r="M37" s="412">
        <f>SUM(M38:M40)</f>
        <v>223.42696712507555</v>
      </c>
      <c r="N37" s="412">
        <f>SUM(N38:N40)</f>
        <v>2681.1236055009067</v>
      </c>
      <c r="O37" s="412">
        <f>SUM(O38:O40)</f>
        <v>804.337081650272</v>
      </c>
    </row>
    <row r="38" spans="1:15" s="64" customFormat="1" ht="12" customHeight="1">
      <c r="A38" s="404" t="s">
        <v>277</v>
      </c>
      <c r="C38" s="64">
        <f>'Приложение №1'!B43</f>
        <v>620</v>
      </c>
      <c r="D38" s="353">
        <f>B8/25</f>
        <v>5.92</v>
      </c>
      <c r="E38" s="353">
        <f>'Приложение №3'!B18</f>
        <v>4</v>
      </c>
      <c r="F38" s="353">
        <f t="shared" si="2"/>
        <v>23.68</v>
      </c>
      <c r="H38" s="64">
        <f>C38*F38*G38/60</f>
        <v>0</v>
      </c>
      <c r="I38" s="64">
        <f>H38/$B$4*$B$5</f>
        <v>0</v>
      </c>
      <c r="J38" s="387">
        <v>1</v>
      </c>
      <c r="K38" s="717">
        <f>'Данные для расчета'!$B$20</f>
        <v>1.2</v>
      </c>
      <c r="L38" s="717">
        <f>'Данные для расчета'!$B$23</f>
        <v>1.6</v>
      </c>
      <c r="M38" s="356">
        <f>$B$6*J38*K38*L38*I38</f>
        <v>0</v>
      </c>
      <c r="N38" s="405">
        <f>M38*$N$13</f>
        <v>0</v>
      </c>
      <c r="O38" s="406">
        <f>N38*$O$13</f>
        <v>0</v>
      </c>
    </row>
    <row r="39" spans="1:15" s="64" customFormat="1" ht="12" customHeight="1">
      <c r="A39" s="404" t="s">
        <v>278</v>
      </c>
      <c r="B39" s="370" t="s">
        <v>36</v>
      </c>
      <c r="C39" s="64">
        <f>'Приложение №1'!B40/5</f>
        <v>115.6</v>
      </c>
      <c r="D39" s="353">
        <f>B9/6</f>
        <v>25.666666666666668</v>
      </c>
      <c r="E39" s="64">
        <f>'Приложение №3'!B19</f>
        <v>0</v>
      </c>
      <c r="F39" s="64">
        <f t="shared" si="2"/>
        <v>0</v>
      </c>
      <c r="G39" s="64">
        <v>4.25</v>
      </c>
      <c r="H39" s="407">
        <f>C39*F39*G39/60</f>
        <v>0</v>
      </c>
      <c r="I39" s="408">
        <f>H39/$B$4*$B$5</f>
        <v>0</v>
      </c>
      <c r="J39" s="387">
        <v>1</v>
      </c>
      <c r="K39" s="717">
        <f>'Данные для расчета'!$B$20</f>
        <v>1.2</v>
      </c>
      <c r="L39" s="717">
        <f>'Данные для расчета'!$B$23</f>
        <v>1.6</v>
      </c>
      <c r="M39" s="356">
        <f>$B$6*J39*K39*L39*I39</f>
        <v>0</v>
      </c>
      <c r="N39" s="405">
        <f>M39*$N$13</f>
        <v>0</v>
      </c>
      <c r="O39" s="406">
        <f>N39*$O$13</f>
        <v>0</v>
      </c>
    </row>
    <row r="40" spans="1:15" s="64" customFormat="1" ht="12" customHeight="1">
      <c r="A40" s="404" t="s">
        <v>279</v>
      </c>
      <c r="C40" s="64">
        <f>'Приложение №1'!B46</f>
        <v>745.9</v>
      </c>
      <c r="D40" s="64">
        <v>1</v>
      </c>
      <c r="E40" s="64">
        <f>'Приложение №3'!B20</f>
        <v>1</v>
      </c>
      <c r="F40" s="64">
        <f t="shared" si="2"/>
        <v>1</v>
      </c>
      <c r="G40" s="64">
        <v>0.08</v>
      </c>
      <c r="H40" s="407">
        <f>C40*F40*G40</f>
        <v>59.672</v>
      </c>
      <c r="I40" s="408">
        <f>H40/$B$4*$B$5</f>
        <v>0.03365188318227594</v>
      </c>
      <c r="J40" s="387">
        <v>1</v>
      </c>
      <c r="K40" s="717">
        <f>'Данные для расчета'!$B$20</f>
        <v>1.2</v>
      </c>
      <c r="L40" s="717">
        <f>'Данные для расчета'!$B$23</f>
        <v>1.6</v>
      </c>
      <c r="M40" s="356">
        <f>$B$6*J40*K40*L40*I40</f>
        <v>223.42696712507555</v>
      </c>
      <c r="N40" s="405">
        <f>M40*$N$13</f>
        <v>2681.1236055009067</v>
      </c>
      <c r="O40" s="406">
        <f>N40*$O$13</f>
        <v>804.337081650272</v>
      </c>
    </row>
  </sheetData>
  <sheetProtection/>
  <mergeCells count="33">
    <mergeCell ref="B16:B18"/>
    <mergeCell ref="G11:G13"/>
    <mergeCell ref="C11:F11"/>
    <mergeCell ref="C12:C13"/>
    <mergeCell ref="F12:F13"/>
    <mergeCell ref="E12:E13"/>
    <mergeCell ref="D12:D13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A29:A31"/>
    <mergeCell ref="B29:B31"/>
    <mergeCell ref="C29:F29"/>
    <mergeCell ref="G29:G31"/>
    <mergeCell ref="C30:C31"/>
    <mergeCell ref="D30:D31"/>
    <mergeCell ref="E30:E31"/>
    <mergeCell ref="F30:F31"/>
    <mergeCell ref="H29:H31"/>
    <mergeCell ref="I29:I31"/>
    <mergeCell ref="J29:N29"/>
    <mergeCell ref="O29:O30"/>
    <mergeCell ref="J30:J31"/>
    <mergeCell ref="K30:K31"/>
    <mergeCell ref="L30:L31"/>
    <mergeCell ref="M30:M31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pane xSplit="3" ySplit="9" topLeftCell="G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"/>
    </sheetView>
  </sheetViews>
  <sheetFormatPr defaultColWidth="9.00390625" defaultRowHeight="12.75"/>
  <cols>
    <col min="1" max="1" width="3.25390625" style="63" customWidth="1"/>
    <col min="2" max="2" width="4.25390625" style="63" customWidth="1"/>
    <col min="3" max="3" width="49.625" style="63" customWidth="1"/>
    <col min="4" max="4" width="8.125" style="176" customWidth="1"/>
    <col min="5" max="5" width="6.875" style="580" customWidth="1"/>
    <col min="6" max="7" width="8.625" style="63" customWidth="1"/>
    <col min="8" max="8" width="10.625" style="63" customWidth="1"/>
    <col min="9" max="9" width="9.625" style="63" customWidth="1"/>
    <col min="10" max="10" width="6.00390625" style="176" customWidth="1"/>
    <col min="11" max="11" width="4.875" style="63" customWidth="1"/>
    <col min="12" max="12" width="5.00390625" style="63" customWidth="1"/>
    <col min="13" max="13" width="4.875" style="63" customWidth="1"/>
    <col min="14" max="14" width="7.625" style="63" customWidth="1"/>
    <col min="15" max="15" width="8.625" style="63" customWidth="1"/>
    <col min="16" max="16" width="6.625" style="63" customWidth="1"/>
    <col min="17" max="16384" width="9.125" style="63" customWidth="1"/>
  </cols>
  <sheetData>
    <row r="1" spans="2:16" ht="12.75">
      <c r="B1" s="465"/>
      <c r="C1" s="464" t="s">
        <v>306</v>
      </c>
      <c r="D1" s="476"/>
      <c r="E1" s="570"/>
      <c r="F1" s="475"/>
      <c r="G1" s="470"/>
      <c r="H1" s="470"/>
      <c r="I1" s="470"/>
      <c r="J1" s="471"/>
      <c r="K1" s="470"/>
      <c r="L1" s="470"/>
      <c r="M1" s="470"/>
      <c r="N1" s="470"/>
      <c r="O1" s="470"/>
      <c r="P1" s="470"/>
    </row>
    <row r="2" spans="3:16" ht="12.75">
      <c r="C2" s="458" t="s">
        <v>313</v>
      </c>
      <c r="D2" s="713">
        <f>'Приложение №1'!B31</f>
        <v>973.7</v>
      </c>
      <c r="E2" s="571"/>
      <c r="F2" s="475"/>
      <c r="G2" s="470"/>
      <c r="H2" s="470"/>
      <c r="I2" s="470"/>
      <c r="J2" s="471"/>
      <c r="K2" s="470"/>
      <c r="L2" s="470"/>
      <c r="M2" s="470"/>
      <c r="N2" s="470"/>
      <c r="O2" s="470"/>
      <c r="P2" s="470"/>
    </row>
    <row r="3" spans="3:16" ht="12.75">
      <c r="C3" s="479" t="s">
        <v>312</v>
      </c>
      <c r="D3" s="714">
        <f>'Приложение №1'!B32</f>
        <v>610.6</v>
      </c>
      <c r="E3" s="571"/>
      <c r="F3" s="475"/>
      <c r="G3" s="470"/>
      <c r="H3" s="470"/>
      <c r="I3" s="470"/>
      <c r="J3" s="471"/>
      <c r="K3" s="470"/>
      <c r="L3" s="470"/>
      <c r="M3" s="470"/>
      <c r="N3" s="470"/>
      <c r="O3" s="470"/>
      <c r="P3" s="470"/>
    </row>
    <row r="4" spans="3:16" ht="12.75" customHeight="1">
      <c r="C4" s="341" t="s">
        <v>273</v>
      </c>
      <c r="D4" s="715">
        <f>'Данные для расчета'!B3</f>
        <v>1986</v>
      </c>
      <c r="E4" s="571"/>
      <c r="F4" s="465"/>
      <c r="G4" s="470"/>
      <c r="H4" s="470"/>
      <c r="I4" s="470"/>
      <c r="J4" s="471"/>
      <c r="K4" s="470"/>
      <c r="L4" s="470"/>
      <c r="M4" s="470"/>
      <c r="N4" s="470"/>
      <c r="O4" s="470"/>
      <c r="P4" s="470"/>
    </row>
    <row r="5" spans="3:16" ht="12.75">
      <c r="C5" s="341" t="s">
        <v>270</v>
      </c>
      <c r="D5" s="715">
        <f>'Данные для расчета'!B4</f>
        <v>1.12</v>
      </c>
      <c r="E5" s="571"/>
      <c r="F5" s="465"/>
      <c r="G5" s="470"/>
      <c r="H5" s="470"/>
      <c r="I5" s="470"/>
      <c r="J5" s="471"/>
      <c r="K5" s="470"/>
      <c r="L5" s="470"/>
      <c r="M5" s="470"/>
      <c r="N5" s="470"/>
      <c r="O5" s="470"/>
      <c r="P5" s="470"/>
    </row>
    <row r="6" spans="3:16" ht="12.75">
      <c r="C6" s="348" t="s">
        <v>262</v>
      </c>
      <c r="D6" s="716">
        <f>'Данные для расчета'!B5</f>
        <v>3458</v>
      </c>
      <c r="E6" s="571"/>
      <c r="F6" s="465"/>
      <c r="G6" s="465"/>
      <c r="H6" s="465"/>
      <c r="I6" s="465"/>
      <c r="J6" s="471"/>
      <c r="K6" s="465"/>
      <c r="L6" s="465"/>
      <c r="M6" s="465"/>
      <c r="N6" s="465"/>
      <c r="O6" s="465"/>
      <c r="P6" s="465"/>
    </row>
    <row r="7" spans="3:16" ht="12.75">
      <c r="C7" s="394" t="s">
        <v>305</v>
      </c>
      <c r="D7" s="477"/>
      <c r="E7" s="571"/>
      <c r="F7" s="465"/>
      <c r="G7" s="465"/>
      <c r="H7" s="465"/>
      <c r="I7" s="465"/>
      <c r="J7" s="471"/>
      <c r="K7" s="465"/>
      <c r="L7" s="465"/>
      <c r="M7" s="465"/>
      <c r="N7" s="465"/>
      <c r="O7" s="465">
        <v>12</v>
      </c>
      <c r="P7" s="478">
        <f>'Данные для расчета'!B11</f>
        <v>0.3</v>
      </c>
    </row>
    <row r="8" spans="3:16" ht="12" customHeight="1">
      <c r="C8" s="1063" t="s">
        <v>302</v>
      </c>
      <c r="D8" s="1059" t="s">
        <v>267</v>
      </c>
      <c r="E8" s="1060"/>
      <c r="F8" s="1061"/>
      <c r="G8" s="1048" t="s">
        <v>303</v>
      </c>
      <c r="H8" s="1048" t="s">
        <v>346</v>
      </c>
      <c r="I8" s="1039" t="s">
        <v>271</v>
      </c>
      <c r="J8" s="1039" t="s">
        <v>352</v>
      </c>
      <c r="K8" s="1050" t="s">
        <v>263</v>
      </c>
      <c r="L8" s="1051"/>
      <c r="M8" s="1051"/>
      <c r="N8" s="1051"/>
      <c r="O8" s="1052"/>
      <c r="P8" s="1031" t="s">
        <v>266</v>
      </c>
    </row>
    <row r="9" spans="3:16" ht="34.5" customHeight="1">
      <c r="C9" s="1064"/>
      <c r="D9" s="150" t="s">
        <v>347</v>
      </c>
      <c r="E9" s="572" t="s">
        <v>345</v>
      </c>
      <c r="F9" s="175" t="s">
        <v>304</v>
      </c>
      <c r="G9" s="1049"/>
      <c r="H9" s="1049"/>
      <c r="I9" s="1040"/>
      <c r="J9" s="1040"/>
      <c r="K9" s="110" t="s">
        <v>301</v>
      </c>
      <c r="L9" s="110" t="s">
        <v>135</v>
      </c>
      <c r="M9" s="110" t="s">
        <v>136</v>
      </c>
      <c r="N9" s="108" t="s">
        <v>264</v>
      </c>
      <c r="O9" s="66" t="s">
        <v>265</v>
      </c>
      <c r="P9" s="1032"/>
    </row>
    <row r="10" spans="3:16" s="64" customFormat="1" ht="12" customHeight="1">
      <c r="C10" s="1056" t="s">
        <v>125</v>
      </c>
      <c r="D10" s="1057"/>
      <c r="E10" s="1057"/>
      <c r="F10" s="1058"/>
      <c r="G10" s="302"/>
      <c r="H10" s="754">
        <f>H11+H12+H22+H23+H27</f>
        <v>10.917</v>
      </c>
      <c r="I10" s="744">
        <f>SUM(I11:I23)+I27</f>
        <v>0.35192697251963745</v>
      </c>
      <c r="J10" s="304"/>
      <c r="K10" s="305"/>
      <c r="L10" s="306"/>
      <c r="M10" s="306"/>
      <c r="N10" s="303">
        <f>N11+N12+N22+N23+N27</f>
        <v>59422.272000000004</v>
      </c>
      <c r="O10" s="303">
        <f>O11+O12+O22+O23+O27</f>
        <v>25163.86874445173</v>
      </c>
      <c r="P10" s="303">
        <f>P11+P12+P22+P23+P27</f>
        <v>7549.1606233355205</v>
      </c>
    </row>
    <row r="11" spans="1:18" s="314" customFormat="1" ht="12" customHeight="1">
      <c r="A11" s="64">
        <v>24</v>
      </c>
      <c r="B11" s="64"/>
      <c r="C11" s="307" t="s">
        <v>240</v>
      </c>
      <c r="D11" s="308" t="s">
        <v>22</v>
      </c>
      <c r="E11" s="573">
        <v>0</v>
      </c>
      <c r="F11" s="309">
        <f>'Приложение №2'!B23</f>
        <v>1</v>
      </c>
      <c r="G11" s="707">
        <v>0.83</v>
      </c>
      <c r="H11" s="709">
        <f>G11*E11*F11</f>
        <v>0</v>
      </c>
      <c r="I11" s="745">
        <f>H11/$D$4*$D$5</f>
        <v>0</v>
      </c>
      <c r="J11" s="311">
        <v>2</v>
      </c>
      <c r="K11" s="121">
        <f>'Данные для расчета'!C6</f>
        <v>1.25</v>
      </c>
      <c r="L11" s="121">
        <f>'Данные для расчета'!$B$21</f>
        <v>1.2</v>
      </c>
      <c r="M11" s="121">
        <f>'Данные для расчета'!$B$23</f>
        <v>1.6</v>
      </c>
      <c r="N11" s="312">
        <f>$D$6*K11*L11*M11</f>
        <v>8299.2</v>
      </c>
      <c r="O11" s="313">
        <f>N11*$O$7*I11</f>
        <v>0</v>
      </c>
      <c r="P11" s="313">
        <f>O11*$P$7</f>
        <v>0</v>
      </c>
      <c r="R11" s="315"/>
    </row>
    <row r="12" spans="3:18" s="314" customFormat="1" ht="12" customHeight="1">
      <c r="C12" s="316" t="s">
        <v>241</v>
      </c>
      <c r="D12" s="317"/>
      <c r="E12" s="315"/>
      <c r="F12" s="318"/>
      <c r="G12" s="708"/>
      <c r="H12" s="383"/>
      <c r="I12" s="745">
        <f>SUM(I13:I21)</f>
        <v>0.1705301327854985</v>
      </c>
      <c r="J12" s="311">
        <v>5</v>
      </c>
      <c r="K12" s="121"/>
      <c r="L12" s="121"/>
      <c r="M12" s="121"/>
      <c r="N12" s="312"/>
      <c r="O12" s="388">
        <f>SUM(O13:O21)</f>
        <v>23829.26030136291</v>
      </c>
      <c r="P12" s="388">
        <f>SUM(P13:P21)</f>
        <v>7148.778090408874</v>
      </c>
      <c r="R12" s="315"/>
    </row>
    <row r="13" spans="1:20" s="64" customFormat="1" ht="36" customHeight="1">
      <c r="A13" s="64">
        <v>12</v>
      </c>
      <c r="B13" s="374" t="s">
        <v>404</v>
      </c>
      <c r="C13" s="320" t="s">
        <v>405</v>
      </c>
      <c r="D13" s="321" t="s">
        <v>351</v>
      </c>
      <c r="E13" s="371">
        <f>'Данные для расчета'!$B$40</f>
        <v>657.009</v>
      </c>
      <c r="F13" s="372">
        <v>1</v>
      </c>
      <c r="G13" s="382">
        <v>1.42</v>
      </c>
      <c r="H13" s="384">
        <f>G13/100*E13*F13</f>
        <v>9.3295278</v>
      </c>
      <c r="I13" s="746">
        <f>H13/$D$4*$D$5</f>
        <v>0.00526136512386707</v>
      </c>
      <c r="J13" s="324" t="s">
        <v>353</v>
      </c>
      <c r="K13" s="65">
        <f>'Данные для расчета'!$C$10</f>
        <v>2.18</v>
      </c>
      <c r="L13" s="719">
        <f>'Данные для расчета'!$B$21</f>
        <v>1.2</v>
      </c>
      <c r="M13" s="719">
        <f>'Данные для расчета'!$B$23</f>
        <v>1.6</v>
      </c>
      <c r="N13" s="325">
        <f aca="true" t="shared" si="0" ref="N13:N22">$D$6*K13*L13*M13</f>
        <v>14473.804800000002</v>
      </c>
      <c r="O13" s="373">
        <f aca="true" t="shared" si="1" ref="O13:O21">N13*$O$7*I13</f>
        <v>913.8236614125576</v>
      </c>
      <c r="P13" s="373">
        <f aca="true" t="shared" si="2" ref="P13:P21">O13*$P$7</f>
        <v>274.14709842376726</v>
      </c>
      <c r="T13" s="64">
        <v>0</v>
      </c>
    </row>
    <row r="14" spans="1:16" s="64" customFormat="1" ht="54.75" customHeight="1">
      <c r="A14" s="64">
        <v>14</v>
      </c>
      <c r="B14" s="1062" t="s">
        <v>1</v>
      </c>
      <c r="C14" s="320" t="s">
        <v>406</v>
      </c>
      <c r="D14" s="321" t="s">
        <v>407</v>
      </c>
      <c r="E14" s="371">
        <f>'Данные для расчета'!B39</f>
        <v>973.7</v>
      </c>
      <c r="F14" s="372">
        <f>3*7</f>
        <v>21</v>
      </c>
      <c r="G14" s="382">
        <v>10</v>
      </c>
      <c r="H14" s="384">
        <f>G14/1000*E14*F14</f>
        <v>204.477</v>
      </c>
      <c r="I14" s="746">
        <f>H14/$D$4*$D$5</f>
        <v>0.11531432024169186</v>
      </c>
      <c r="J14" s="324">
        <v>4</v>
      </c>
      <c r="K14" s="65">
        <f>'Данные для расчета'!$C$8</f>
        <v>1.7</v>
      </c>
      <c r="L14" s="719">
        <f>'Данные для расчета'!$B$21</f>
        <v>1.2</v>
      </c>
      <c r="M14" s="719">
        <f>'Данные для расчета'!$B$23</f>
        <v>1.6</v>
      </c>
      <c r="N14" s="325">
        <f t="shared" si="0"/>
        <v>11286.911999999998</v>
      </c>
      <c r="O14" s="373">
        <f t="shared" si="1"/>
        <v>15618.511018893536</v>
      </c>
      <c r="P14" s="373">
        <f t="shared" si="2"/>
        <v>4685.553305668061</v>
      </c>
    </row>
    <row r="15" spans="1:16" s="64" customFormat="1" ht="64.5" customHeight="1">
      <c r="A15" s="64">
        <v>15</v>
      </c>
      <c r="B15" s="1062"/>
      <c r="C15" s="320" t="s">
        <v>417</v>
      </c>
      <c r="D15" s="321" t="s">
        <v>0</v>
      </c>
      <c r="E15" s="371">
        <f>'Данные для расчета'!B40</f>
        <v>657.009</v>
      </c>
      <c r="F15" s="372">
        <v>1</v>
      </c>
      <c r="G15" s="382">
        <v>4</v>
      </c>
      <c r="H15" s="384">
        <f>G15/1000*E15*F15</f>
        <v>2.6280360000000003</v>
      </c>
      <c r="I15" s="746">
        <f>H15/$D$4*$D$5</f>
        <v>0.0014820746827794563</v>
      </c>
      <c r="J15" s="324">
        <v>4</v>
      </c>
      <c r="K15" s="65">
        <f>'Данные для расчета'!$C$8</f>
        <v>1.7</v>
      </c>
      <c r="L15" s="719">
        <f>'Данные для расчета'!$B$21</f>
        <v>1.2</v>
      </c>
      <c r="M15" s="719">
        <f>'Данные для расчета'!$B$23</f>
        <v>1.6</v>
      </c>
      <c r="N15" s="325">
        <f t="shared" si="0"/>
        <v>11286.911999999998</v>
      </c>
      <c r="O15" s="373">
        <f t="shared" si="1"/>
        <v>200.73655826351566</v>
      </c>
      <c r="P15" s="373">
        <f t="shared" si="2"/>
        <v>60.22096747905469</v>
      </c>
    </row>
    <row r="16" spans="1:16" s="64" customFormat="1" ht="12" customHeight="1">
      <c r="A16" s="64">
        <v>36</v>
      </c>
      <c r="B16" s="374" t="s">
        <v>3</v>
      </c>
      <c r="C16" s="320" t="s">
        <v>2</v>
      </c>
      <c r="D16" s="321" t="s">
        <v>4</v>
      </c>
      <c r="E16" s="371">
        <f>'Данные для расчета'!B41</f>
        <v>3974</v>
      </c>
      <c r="F16" s="372">
        <v>1</v>
      </c>
      <c r="G16" s="382">
        <v>0.87</v>
      </c>
      <c r="H16" s="384">
        <f>G16/100*E16*F16</f>
        <v>34.5738</v>
      </c>
      <c r="I16" s="746">
        <f>H16/$D$4*$D$5</f>
        <v>0.019497812688821753</v>
      </c>
      <c r="J16" s="324" t="s">
        <v>5</v>
      </c>
      <c r="K16" s="65">
        <f>'Данные для расчета'!$C$8</f>
        <v>1.7</v>
      </c>
      <c r="L16" s="719">
        <f>'Данные для расчета'!$B$21</f>
        <v>1.2</v>
      </c>
      <c r="M16" s="719">
        <f>'Данные для расчета'!$B$23</f>
        <v>1.6</v>
      </c>
      <c r="N16" s="325">
        <f t="shared" si="0"/>
        <v>11286.911999999998</v>
      </c>
      <c r="O16" s="373">
        <f t="shared" si="1"/>
        <v>2640.841152134574</v>
      </c>
      <c r="P16" s="373">
        <f t="shared" si="2"/>
        <v>792.2523456403721</v>
      </c>
    </row>
    <row r="17" spans="2:16" s="64" customFormat="1" ht="12" customHeight="1">
      <c r="B17" s="374"/>
      <c r="C17" s="320" t="s">
        <v>6</v>
      </c>
      <c r="D17" s="321"/>
      <c r="E17" s="371"/>
      <c r="F17" s="372"/>
      <c r="G17" s="382"/>
      <c r="H17" s="384"/>
      <c r="I17" s="746"/>
      <c r="J17" s="324"/>
      <c r="K17" s="65"/>
      <c r="L17" s="121"/>
      <c r="M17" s="121"/>
      <c r="N17" s="325">
        <f t="shared" si="0"/>
        <v>0</v>
      </c>
      <c r="O17" s="373">
        <f t="shared" si="1"/>
        <v>0</v>
      </c>
      <c r="P17" s="373">
        <f t="shared" si="2"/>
        <v>0</v>
      </c>
    </row>
    <row r="18" spans="1:16" s="64" customFormat="1" ht="12" customHeight="1">
      <c r="A18" s="65">
        <v>37</v>
      </c>
      <c r="B18" s="1066" t="s">
        <v>11</v>
      </c>
      <c r="C18" s="320" t="s">
        <v>7</v>
      </c>
      <c r="D18" s="321" t="s">
        <v>351</v>
      </c>
      <c r="E18" s="371">
        <f>'Данные для расчета'!$B$40</f>
        <v>657.009</v>
      </c>
      <c r="F18" s="372">
        <v>1</v>
      </c>
      <c r="G18" s="382">
        <v>3.3</v>
      </c>
      <c r="H18" s="384">
        <f>G18/100*E18*F18</f>
        <v>21.681297</v>
      </c>
      <c r="I18" s="746">
        <f>H18/$D$4*$D$5</f>
        <v>0.012227116132930515</v>
      </c>
      <c r="J18" s="1053" t="s">
        <v>353</v>
      </c>
      <c r="K18" s="65">
        <f>'Данные для расчета'!$C$9</f>
        <v>1.93</v>
      </c>
      <c r="L18" s="719">
        <f>'Данные для расчета'!$B$21</f>
        <v>1.2</v>
      </c>
      <c r="M18" s="719">
        <f>'Данные для расчета'!$B$23</f>
        <v>1.6</v>
      </c>
      <c r="N18" s="325">
        <f t="shared" si="0"/>
        <v>12813.9648</v>
      </c>
      <c r="O18" s="373">
        <f t="shared" si="1"/>
        <v>1880.1340287946048</v>
      </c>
      <c r="P18" s="373">
        <f t="shared" si="2"/>
        <v>564.0402086383814</v>
      </c>
    </row>
    <row r="19" spans="1:16" s="64" customFormat="1" ht="12" customHeight="1">
      <c r="A19" s="65">
        <v>38</v>
      </c>
      <c r="B19" s="1066"/>
      <c r="C19" s="320" t="s">
        <v>8</v>
      </c>
      <c r="D19" s="321" t="s">
        <v>351</v>
      </c>
      <c r="E19" s="371">
        <f>'Данные для расчета'!$B$40</f>
        <v>657.009</v>
      </c>
      <c r="F19" s="372">
        <v>1</v>
      </c>
      <c r="G19" s="382">
        <v>3.1</v>
      </c>
      <c r="H19" s="384">
        <f>G19/100*E19*F19</f>
        <v>20.367279</v>
      </c>
      <c r="I19" s="746">
        <f>H19/$D$4*$D$5</f>
        <v>0.011486078791540786</v>
      </c>
      <c r="J19" s="1053"/>
      <c r="K19" s="65">
        <f>'Данные для расчета'!$C$9</f>
        <v>1.93</v>
      </c>
      <c r="L19" s="719">
        <f>'Данные для расчета'!$B$21</f>
        <v>1.2</v>
      </c>
      <c r="M19" s="719">
        <f>'Данные для расчета'!$B$23</f>
        <v>1.6</v>
      </c>
      <c r="N19" s="325">
        <f t="shared" si="0"/>
        <v>12813.9648</v>
      </c>
      <c r="O19" s="373">
        <f t="shared" si="1"/>
        <v>1766.186511897962</v>
      </c>
      <c r="P19" s="373">
        <f t="shared" si="2"/>
        <v>529.8559535693886</v>
      </c>
    </row>
    <row r="20" spans="1:16" s="64" customFormat="1" ht="12" customHeight="1">
      <c r="A20" s="65">
        <v>39</v>
      </c>
      <c r="B20" s="1066"/>
      <c r="C20" s="320" t="s">
        <v>9</v>
      </c>
      <c r="D20" s="321" t="s">
        <v>351</v>
      </c>
      <c r="E20" s="371">
        <f>'Данные для расчета'!$B$40</f>
        <v>657.009</v>
      </c>
      <c r="F20" s="372">
        <v>1</v>
      </c>
      <c r="G20" s="382">
        <v>1.3</v>
      </c>
      <c r="H20" s="384">
        <f>G20/100*E20*F20</f>
        <v>8.541117000000002</v>
      </c>
      <c r="I20" s="746">
        <f>H20/$D$4*$D$5</f>
        <v>0.004816742719033235</v>
      </c>
      <c r="J20" s="1053"/>
      <c r="K20" s="65">
        <f>'Данные для расчета'!$C$9</f>
        <v>1.93</v>
      </c>
      <c r="L20" s="719">
        <f>'Данные для расчета'!$B$21</f>
        <v>1.2</v>
      </c>
      <c r="M20" s="719">
        <f>'Данные для расчета'!$B$23</f>
        <v>1.6</v>
      </c>
      <c r="N20" s="325">
        <f t="shared" si="0"/>
        <v>12813.9648</v>
      </c>
      <c r="O20" s="373">
        <f t="shared" si="1"/>
        <v>740.6588598281778</v>
      </c>
      <c r="P20" s="373">
        <f t="shared" si="2"/>
        <v>222.19765794845333</v>
      </c>
    </row>
    <row r="21" spans="1:16" s="64" customFormat="1" ht="12" customHeight="1">
      <c r="A21" s="65">
        <v>40</v>
      </c>
      <c r="B21" s="1066"/>
      <c r="C21" s="320" t="s">
        <v>10</v>
      </c>
      <c r="D21" s="321" t="s">
        <v>351</v>
      </c>
      <c r="E21" s="371">
        <f>'Данные для расчета'!$B$40</f>
        <v>657.009</v>
      </c>
      <c r="F21" s="372">
        <v>1</v>
      </c>
      <c r="G21" s="382">
        <v>0.12</v>
      </c>
      <c r="H21" s="384">
        <f>G21/100*E21*F21</f>
        <v>0.7884108</v>
      </c>
      <c r="I21" s="746">
        <f>H21/$D$4*$D$5</f>
        <v>0.00044462240483383685</v>
      </c>
      <c r="J21" s="1053"/>
      <c r="K21" s="65">
        <f>'Данные для расчета'!$C$9</f>
        <v>1.93</v>
      </c>
      <c r="L21" s="719">
        <f>'Данные для расчета'!$B$21</f>
        <v>1.2</v>
      </c>
      <c r="M21" s="719">
        <f>'Данные для расчета'!$B$23</f>
        <v>1.6</v>
      </c>
      <c r="N21" s="325">
        <f t="shared" si="0"/>
        <v>12813.9648</v>
      </c>
      <c r="O21" s="373">
        <f t="shared" si="1"/>
        <v>68.36851013798562</v>
      </c>
      <c r="P21" s="373">
        <f t="shared" si="2"/>
        <v>20.510553041395685</v>
      </c>
    </row>
    <row r="22" spans="1:16" s="314" customFormat="1" ht="12" customHeight="1">
      <c r="A22" s="64"/>
      <c r="B22" s="64"/>
      <c r="C22" s="316" t="s">
        <v>242</v>
      </c>
      <c r="D22" s="317" t="s">
        <v>92</v>
      </c>
      <c r="E22" s="574">
        <f>'Данные для расчета'!B42</f>
        <v>6</v>
      </c>
      <c r="F22" s="318">
        <f>'Приложение №2'!B25</f>
        <v>1</v>
      </c>
      <c r="G22" s="121">
        <v>0.23</v>
      </c>
      <c r="H22" s="383">
        <f aca="true" t="shared" si="3" ref="H22:H33">E22*F22*G22</f>
        <v>1.3800000000000001</v>
      </c>
      <c r="I22" s="594">
        <f>H22/$D$4*$D$5</f>
        <v>0.000778247734138973</v>
      </c>
      <c r="J22" s="311">
        <v>3</v>
      </c>
      <c r="K22" s="722">
        <f>'Данные для расчета'!$C$7</f>
        <v>1.5</v>
      </c>
      <c r="L22" s="121">
        <f>'Данные для расчета'!$B$21</f>
        <v>1.2</v>
      </c>
      <c r="M22" s="121">
        <f>'Данные для расчета'!$B$23</f>
        <v>1.6</v>
      </c>
      <c r="N22" s="312">
        <f t="shared" si="0"/>
        <v>9959.04</v>
      </c>
      <c r="O22" s="312">
        <f>N22*$O$7*I22</f>
        <v>93.00720377039278</v>
      </c>
      <c r="P22" s="312">
        <f>O22*$P$7</f>
        <v>27.902161131117833</v>
      </c>
    </row>
    <row r="23" spans="1:16" s="314" customFormat="1" ht="12" customHeight="1">
      <c r="A23" s="64"/>
      <c r="B23" s="64"/>
      <c r="C23" s="316" t="s">
        <v>243</v>
      </c>
      <c r="D23" s="317"/>
      <c r="E23" s="574"/>
      <c r="F23" s="318"/>
      <c r="G23" s="121"/>
      <c r="H23" s="383"/>
      <c r="I23" s="594">
        <f>SUM(I24:I26)</f>
        <v>0.004710090634441088</v>
      </c>
      <c r="J23" s="311"/>
      <c r="K23" s="121"/>
      <c r="L23" s="121"/>
      <c r="M23" s="121"/>
      <c r="N23" s="312">
        <f>SUM(N24:N26)</f>
        <v>31204.992</v>
      </c>
      <c r="O23" s="312">
        <f>SUM(O24:O26)</f>
        <v>598.8405854356497</v>
      </c>
      <c r="P23" s="312">
        <f>SUM(P24:P26)</f>
        <v>179.6521756306949</v>
      </c>
    </row>
    <row r="24" spans="1:16" s="64" customFormat="1" ht="12" customHeight="1">
      <c r="A24" s="64">
        <v>31</v>
      </c>
      <c r="C24" s="320" t="s">
        <v>162</v>
      </c>
      <c r="D24" s="321" t="s">
        <v>17</v>
      </c>
      <c r="E24" s="575">
        <f>'Данные для расчета'!B34</f>
        <v>8</v>
      </c>
      <c r="F24" s="326">
        <f>'Приложение №2'!B26</f>
        <v>2</v>
      </c>
      <c r="G24" s="682">
        <v>0.55</v>
      </c>
      <c r="H24" s="384">
        <f>E24*F24*G24/10*4</f>
        <v>3.5200000000000005</v>
      </c>
      <c r="I24" s="746">
        <f>H24/$D$4*$D$5</f>
        <v>0.0019850956696878153</v>
      </c>
      <c r="J24" s="324">
        <v>3</v>
      </c>
      <c r="K24" s="719">
        <f>'Данные для расчета'!$C$7</f>
        <v>1.5</v>
      </c>
      <c r="L24" s="719">
        <f>'Данные для расчета'!$B$21</f>
        <v>1.2</v>
      </c>
      <c r="M24" s="719">
        <f>'Данные для расчета'!$B$23</f>
        <v>1.6</v>
      </c>
      <c r="N24" s="325">
        <f>$D$6*K24*L24*M24</f>
        <v>9959.04</v>
      </c>
      <c r="O24" s="313">
        <f>N24*$O$7*I24</f>
        <v>237.2357661389729</v>
      </c>
      <c r="P24" s="313">
        <f>O24*$P$7</f>
        <v>71.17072984169187</v>
      </c>
    </row>
    <row r="25" spans="1:16" s="64" customFormat="1" ht="12" customHeight="1">
      <c r="A25" s="64">
        <v>14</v>
      </c>
      <c r="C25" s="1067" t="s">
        <v>163</v>
      </c>
      <c r="D25" s="321" t="s">
        <v>28</v>
      </c>
      <c r="E25" s="575">
        <f>'Данные для расчета'!B32</f>
        <v>4</v>
      </c>
      <c r="F25" s="326">
        <f>F24</f>
        <v>2</v>
      </c>
      <c r="G25" s="682">
        <v>0.26</v>
      </c>
      <c r="H25" s="384">
        <f>E25*F25*G25/10*4</f>
        <v>0.8320000000000001</v>
      </c>
      <c r="I25" s="746">
        <f>H25/$D$4*$D$5</f>
        <v>0.0004692044310171199</v>
      </c>
      <c r="J25" s="324">
        <v>3</v>
      </c>
      <c r="K25" s="719">
        <f>'Данные для расчета'!$C$7</f>
        <v>1.5</v>
      </c>
      <c r="L25" s="719">
        <f>'Данные для расчета'!$B$21</f>
        <v>1.2</v>
      </c>
      <c r="M25" s="719">
        <f>'Данные для расчета'!$B$23</f>
        <v>1.6</v>
      </c>
      <c r="N25" s="325">
        <f>$D$6*K25*L25*M25</f>
        <v>9959.04</v>
      </c>
      <c r="O25" s="313">
        <f>N25*$O$7*I25</f>
        <v>56.07390836012086</v>
      </c>
      <c r="P25" s="313">
        <f>O25*$P$7</f>
        <v>16.822172508036257</v>
      </c>
    </row>
    <row r="26" spans="1:16" s="64" customFormat="1" ht="12" customHeight="1">
      <c r="A26" s="64">
        <v>19</v>
      </c>
      <c r="C26" s="1067"/>
      <c r="D26" s="321" t="s">
        <v>23</v>
      </c>
      <c r="E26" s="575">
        <f>'Данные для расчета'!B33</f>
        <v>4</v>
      </c>
      <c r="F26" s="326">
        <f>F24</f>
        <v>2</v>
      </c>
      <c r="G26" s="682">
        <v>1</v>
      </c>
      <c r="H26" s="384">
        <f>E26/2*F26*G26</f>
        <v>4</v>
      </c>
      <c r="I26" s="746">
        <f>H26/$D$4*$D$5</f>
        <v>0.002255790533736153</v>
      </c>
      <c r="J26" s="324">
        <v>4</v>
      </c>
      <c r="K26" s="719">
        <f>'Данные для расчета'!$C$8</f>
        <v>1.7</v>
      </c>
      <c r="L26" s="719">
        <f>'Данные для расчета'!$B$21</f>
        <v>1.2</v>
      </c>
      <c r="M26" s="719">
        <f>'Данные для расчета'!$B$23</f>
        <v>1.6</v>
      </c>
      <c r="N26" s="325">
        <f>$D$6*K26*L26*M26</f>
        <v>11286.911999999998</v>
      </c>
      <c r="O26" s="313">
        <f>N26*$O$7*I26</f>
        <v>305.53091093655587</v>
      </c>
      <c r="P26" s="313">
        <f>O26*$P$7</f>
        <v>91.65927328096676</v>
      </c>
    </row>
    <row r="27" spans="1:16" s="314" customFormat="1" ht="12" customHeight="1">
      <c r="A27" s="64">
        <v>2</v>
      </c>
      <c r="B27" s="64"/>
      <c r="C27" s="316" t="s">
        <v>249</v>
      </c>
      <c r="D27" s="327" t="s">
        <v>354</v>
      </c>
      <c r="E27" s="576">
        <f>'Данные для расчета'!B37</f>
        <v>51</v>
      </c>
      <c r="F27" s="328">
        <f>'Приложение №2'!B27</f>
        <v>1</v>
      </c>
      <c r="G27" s="319">
        <v>18.7</v>
      </c>
      <c r="H27" s="385">
        <f>E27*F27*G27/100</f>
        <v>9.536999999999999</v>
      </c>
      <c r="I27" s="745">
        <f>H27/$D$4*$D$5</f>
        <v>0.005378368580060423</v>
      </c>
      <c r="J27" s="311">
        <v>3</v>
      </c>
      <c r="K27" s="722">
        <f>'Данные для расчета'!$C$7</f>
        <v>1.5</v>
      </c>
      <c r="L27" s="121">
        <f>'Данные для расчета'!$B$21</f>
        <v>1.2</v>
      </c>
      <c r="M27" s="121">
        <f>'Данные для расчета'!$B$23</f>
        <v>1.6</v>
      </c>
      <c r="N27" s="312">
        <f>$D$6*K27*L27*M27</f>
        <v>9959.04</v>
      </c>
      <c r="O27" s="313">
        <f>N27*$O$7*I27</f>
        <v>642.7606538827795</v>
      </c>
      <c r="P27" s="313">
        <f>O27*$P$7</f>
        <v>192.82819616483383</v>
      </c>
    </row>
    <row r="28" spans="3:16" s="64" customFormat="1" ht="12" customHeight="1">
      <c r="C28" s="352" t="s">
        <v>126</v>
      </c>
      <c r="D28" s="638"/>
      <c r="E28" s="639"/>
      <c r="F28" s="638"/>
      <c r="G28" s="330"/>
      <c r="H28" s="683"/>
      <c r="I28" s="747">
        <f>I29</f>
        <v>0.01414380664652568</v>
      </c>
      <c r="J28" s="331"/>
      <c r="K28" s="172"/>
      <c r="L28" s="172"/>
      <c r="M28" s="172"/>
      <c r="N28" s="173">
        <f>N29</f>
        <v>44018.9568</v>
      </c>
      <c r="O28" s="173">
        <f>O29</f>
        <v>2045.0262213375229</v>
      </c>
      <c r="P28" s="173">
        <f>P29</f>
        <v>613.5078664012568</v>
      </c>
    </row>
    <row r="29" spans="1:16" s="314" customFormat="1" ht="12" customHeight="1">
      <c r="A29" s="64"/>
      <c r="B29" s="64"/>
      <c r="C29" s="316" t="s">
        <v>244</v>
      </c>
      <c r="D29" s="308"/>
      <c r="E29" s="577"/>
      <c r="F29" s="333"/>
      <c r="G29" s="329"/>
      <c r="H29" s="310">
        <f t="shared" si="3"/>
        <v>0</v>
      </c>
      <c r="I29" s="748">
        <f>SUM(I30:I33)</f>
        <v>0.01414380664652568</v>
      </c>
      <c r="J29" s="334"/>
      <c r="K29" s="335"/>
      <c r="L29" s="336"/>
      <c r="M29" s="336"/>
      <c r="N29" s="337">
        <f>SUM(N30:N33)</f>
        <v>44018.9568</v>
      </c>
      <c r="O29" s="338">
        <f>SUM(O30:O33)</f>
        <v>2045.0262213375229</v>
      </c>
      <c r="P29" s="339">
        <f>SUM(P30:P33)</f>
        <v>613.5078664012568</v>
      </c>
    </row>
    <row r="30" spans="3:16" s="64" customFormat="1" ht="12" customHeight="1">
      <c r="C30" s="177" t="s">
        <v>109</v>
      </c>
      <c r="D30" s="178"/>
      <c r="E30" s="575"/>
      <c r="F30" s="326">
        <f>'Приложение №2'!B30</f>
        <v>2</v>
      </c>
      <c r="G30" s="322"/>
      <c r="H30" s="323">
        <f t="shared" si="3"/>
        <v>0</v>
      </c>
      <c r="I30" s="749">
        <f>H30/$D$4*$D$5</f>
        <v>0</v>
      </c>
      <c r="J30" s="340">
        <v>4</v>
      </c>
      <c r="K30" s="341">
        <f>'Данные для расчета'!$C$8</f>
        <v>1.7</v>
      </c>
      <c r="L30" s="719">
        <f>'Данные для расчета'!$B$21</f>
        <v>1.2</v>
      </c>
      <c r="M30" s="719">
        <f>'Данные для расчета'!$B$23</f>
        <v>1.6</v>
      </c>
      <c r="N30" s="325">
        <f>$D$6*K30*L30*M30</f>
        <v>11286.911999999998</v>
      </c>
      <c r="O30" s="313">
        <f>N30*$O$7*I30</f>
        <v>0</v>
      </c>
      <c r="P30" s="342">
        <f>O30*$P$7</f>
        <v>0</v>
      </c>
    </row>
    <row r="31" spans="1:16" s="64" customFormat="1" ht="12" customHeight="1">
      <c r="A31" s="64">
        <v>6</v>
      </c>
      <c r="C31" s="177" t="s">
        <v>110</v>
      </c>
      <c r="D31" s="178" t="s">
        <v>438</v>
      </c>
      <c r="E31" s="574">
        <f>'Данные для расчета'!B37</f>
        <v>51</v>
      </c>
      <c r="F31" s="326">
        <f>'Приложение №2'!B32</f>
        <v>2</v>
      </c>
      <c r="G31" s="322">
        <v>0.18</v>
      </c>
      <c r="H31" s="323">
        <f t="shared" si="3"/>
        <v>18.36</v>
      </c>
      <c r="I31" s="749">
        <f>H31/$D$4*$D$5</f>
        <v>0.010354078549848943</v>
      </c>
      <c r="J31" s="340">
        <v>5</v>
      </c>
      <c r="K31" s="341">
        <f>'Данные для расчета'!$C$9</f>
        <v>1.93</v>
      </c>
      <c r="L31" s="719">
        <f>'Данные для расчета'!$B$21</f>
        <v>1.2</v>
      </c>
      <c r="M31" s="719">
        <f>'Данные для расчета'!$B$23</f>
        <v>1.6</v>
      </c>
      <c r="N31" s="325">
        <f>$D$6*K31*L31*M31</f>
        <v>12813.9648</v>
      </c>
      <c r="O31" s="313">
        <f>N31*$O$7*I31</f>
        <v>1592.1215768903928</v>
      </c>
      <c r="P31" s="342">
        <f>O31*$P$7</f>
        <v>477.63647306711783</v>
      </c>
    </row>
    <row r="32" spans="3:16" s="64" customFormat="1" ht="12" customHeight="1">
      <c r="C32" s="177" t="s">
        <v>349</v>
      </c>
      <c r="D32" s="179" t="s">
        <v>94</v>
      </c>
      <c r="E32" s="575">
        <f>'Данные для расчета'!$B$36</f>
        <v>8</v>
      </c>
      <c r="F32" s="326">
        <f>'Приложение №2'!B34</f>
        <v>12</v>
      </c>
      <c r="G32" s="343">
        <v>0.02</v>
      </c>
      <c r="H32" s="323">
        <f t="shared" si="3"/>
        <v>1.92</v>
      </c>
      <c r="I32" s="749">
        <f>H32/$D$4*$D$5</f>
        <v>0.0010827794561933536</v>
      </c>
      <c r="J32" s="340">
        <v>3</v>
      </c>
      <c r="K32" s="723">
        <f>'Данные для расчета'!$C$7</f>
        <v>1.5</v>
      </c>
      <c r="L32" s="719">
        <f>'Данные для расчета'!$B$21</f>
        <v>1.2</v>
      </c>
      <c r="M32" s="719">
        <f>'Данные для расчета'!$B$23</f>
        <v>1.6</v>
      </c>
      <c r="N32" s="325">
        <f>$D$6*K32*L32*M32</f>
        <v>9959.04</v>
      </c>
      <c r="O32" s="313">
        <f>N32*$O$7*I32</f>
        <v>129.40132698489427</v>
      </c>
      <c r="P32" s="342">
        <f>O32*$P$7</f>
        <v>38.82039809546828</v>
      </c>
    </row>
    <row r="33" spans="3:16" s="64" customFormat="1" ht="12" customHeight="1">
      <c r="C33" s="218" t="s">
        <v>111</v>
      </c>
      <c r="D33" s="219" t="s">
        <v>94</v>
      </c>
      <c r="E33" s="578">
        <f>'Данные для расчета'!$B$36</f>
        <v>8</v>
      </c>
      <c r="F33" s="344">
        <f>'Приложение №2'!B36</f>
        <v>12</v>
      </c>
      <c r="G33" s="345">
        <v>0.05</v>
      </c>
      <c r="H33" s="346">
        <f t="shared" si="3"/>
        <v>4.800000000000001</v>
      </c>
      <c r="I33" s="750">
        <f>H33/$D$4*$D$5</f>
        <v>0.0027069486404833845</v>
      </c>
      <c r="J33" s="347">
        <v>3</v>
      </c>
      <c r="K33" s="724">
        <f>'Данные для расчета'!$C$7</f>
        <v>1.5</v>
      </c>
      <c r="L33" s="721">
        <f>'Данные для расчета'!$B$21</f>
        <v>1.2</v>
      </c>
      <c r="M33" s="721">
        <f>'Данные для расчета'!$B$23</f>
        <v>1.6</v>
      </c>
      <c r="N33" s="349">
        <f>$D$6*K33*L33*M33</f>
        <v>9959.04</v>
      </c>
      <c r="O33" s="350">
        <f>N33*$O$7*I33</f>
        <v>323.50331746223577</v>
      </c>
      <c r="P33" s="351">
        <f>O33*$P$7</f>
        <v>97.05099523867072</v>
      </c>
    </row>
    <row r="34" spans="3:16" ht="12" customHeight="1">
      <c r="C34" s="470"/>
      <c r="D34" s="471"/>
      <c r="E34" s="571"/>
      <c r="F34" s="465"/>
      <c r="G34" s="465"/>
      <c r="H34" s="465"/>
      <c r="I34" s="751"/>
      <c r="J34" s="471"/>
      <c r="K34" s="465"/>
      <c r="L34" s="465"/>
      <c r="M34" s="465"/>
      <c r="N34" s="472"/>
      <c r="O34" s="472"/>
      <c r="P34" s="472"/>
    </row>
    <row r="35" spans="3:17" ht="12" customHeight="1">
      <c r="C35" s="826" t="s">
        <v>32</v>
      </c>
      <c r="D35" s="822"/>
      <c r="E35" s="823"/>
      <c r="F35" s="823"/>
      <c r="G35" s="823"/>
      <c r="H35" s="823"/>
      <c r="I35" s="824"/>
      <c r="J35" s="822"/>
      <c r="K35" s="823"/>
      <c r="L35" s="823"/>
      <c r="M35" s="823"/>
      <c r="N35" s="825"/>
      <c r="O35" s="825"/>
      <c r="P35" s="825"/>
      <c r="Q35" s="823"/>
    </row>
    <row r="36" spans="3:17" ht="12" customHeight="1">
      <c r="C36" s="1063" t="s">
        <v>302</v>
      </c>
      <c r="D36" s="1059" t="s">
        <v>267</v>
      </c>
      <c r="E36" s="1060"/>
      <c r="F36" s="1061"/>
      <c r="G36" s="1048" t="s">
        <v>303</v>
      </c>
      <c r="H36" s="1048" t="s">
        <v>346</v>
      </c>
      <c r="I36" s="1054" t="s">
        <v>271</v>
      </c>
      <c r="J36" s="1039" t="s">
        <v>352</v>
      </c>
      <c r="K36" s="1050" t="s">
        <v>263</v>
      </c>
      <c r="L36" s="1051"/>
      <c r="M36" s="1051"/>
      <c r="N36" s="1051"/>
      <c r="O36" s="1052"/>
      <c r="P36" s="1031" t="s">
        <v>266</v>
      </c>
      <c r="Q36" s="1031" t="s">
        <v>309</v>
      </c>
    </row>
    <row r="37" spans="3:17" ht="12" customHeight="1">
      <c r="C37" s="1064"/>
      <c r="D37" s="120" t="s">
        <v>347</v>
      </c>
      <c r="E37" s="572" t="s">
        <v>345</v>
      </c>
      <c r="F37" s="175" t="s">
        <v>304</v>
      </c>
      <c r="G37" s="1049"/>
      <c r="H37" s="1049"/>
      <c r="I37" s="1055"/>
      <c r="J37" s="1040"/>
      <c r="K37" s="110" t="s">
        <v>301</v>
      </c>
      <c r="L37" s="110" t="s">
        <v>135</v>
      </c>
      <c r="M37" s="110" t="s">
        <v>136</v>
      </c>
      <c r="N37" s="108" t="s">
        <v>264</v>
      </c>
      <c r="O37" s="66" t="s">
        <v>265</v>
      </c>
      <c r="P37" s="1032"/>
      <c r="Q37" s="1065"/>
    </row>
    <row r="38" spans="3:17" ht="12" customHeight="1">
      <c r="C38" s="440" t="s">
        <v>281</v>
      </c>
      <c r="D38" s="473"/>
      <c r="E38" s="579"/>
      <c r="F38" s="474"/>
      <c r="G38" s="474"/>
      <c r="H38" s="454">
        <f>SUM(H39:H40)</f>
        <v>9.137275</v>
      </c>
      <c r="I38" s="752">
        <f>SUM(I39:I40)</f>
        <v>0.005152944612286004</v>
      </c>
      <c r="J38" s="454"/>
      <c r="K38" s="454"/>
      <c r="L38" s="454"/>
      <c r="M38" s="454"/>
      <c r="N38" s="454">
        <f>SUM(N39:N40)</f>
        <v>9959.04</v>
      </c>
      <c r="O38" s="454">
        <f>SUM(O39:O40)</f>
        <v>615.8205781384896</v>
      </c>
      <c r="P38" s="454">
        <f>SUM(P39:P40)</f>
        <v>184.7461734415469</v>
      </c>
      <c r="Q38" s="454">
        <f>SUM(Q39:Q40)</f>
        <v>4484.164325000001</v>
      </c>
    </row>
    <row r="39" spans="3:17" ht="12" customHeight="1">
      <c r="C39" s="441" t="s">
        <v>282</v>
      </c>
      <c r="H39" s="484">
        <f>E39*F39*G39</f>
        <v>0</v>
      </c>
      <c r="I39" s="753">
        <f>H39/$D$4*$D$5</f>
        <v>0</v>
      </c>
      <c r="J39" s="487">
        <v>3</v>
      </c>
      <c r="K39" s="725">
        <f>'Данные для расчета'!$C$7</f>
        <v>1.5</v>
      </c>
      <c r="L39" s="720">
        <f>'Данные для расчета'!$B$21</f>
        <v>1.2</v>
      </c>
      <c r="M39" s="720">
        <f>'Данные для расчета'!$B$23</f>
        <v>1.6</v>
      </c>
      <c r="N39" s="455">
        <f>$D$6*K39*L39*M39</f>
        <v>9959.04</v>
      </c>
      <c r="O39" s="338">
        <f>N39*$O$7*I39</f>
        <v>0</v>
      </c>
      <c r="P39" s="338">
        <f>O39*$P$7</f>
        <v>0</v>
      </c>
      <c r="Q39" s="480"/>
    </row>
    <row r="40" spans="3:17" ht="12" customHeight="1">
      <c r="C40" s="481" t="s">
        <v>487</v>
      </c>
      <c r="H40" s="485">
        <f>SUM(H41:H44)</f>
        <v>9.137275</v>
      </c>
      <c r="I40" s="836">
        <f>SUM(I41:I44)</f>
        <v>0.005152944612286004</v>
      </c>
      <c r="J40" s="324">
        <v>3</v>
      </c>
      <c r="K40" s="723"/>
      <c r="L40" s="719"/>
      <c r="M40" s="719"/>
      <c r="N40" s="325"/>
      <c r="O40" s="313">
        <f>SUM(O41:O44)</f>
        <v>615.8205781384896</v>
      </c>
      <c r="P40" s="313">
        <f>SUM(P41:P44)</f>
        <v>184.7461734415469</v>
      </c>
      <c r="Q40" s="827">
        <f>SUM(Q41:Q44)</f>
        <v>4484.164325000001</v>
      </c>
    </row>
    <row r="41" spans="1:17" ht="12" customHeight="1">
      <c r="A41" s="64">
        <v>1</v>
      </c>
      <c r="C41" s="829" t="s">
        <v>488</v>
      </c>
      <c r="D41" s="828" t="s">
        <v>492</v>
      </c>
      <c r="E41" s="580">
        <f>'Данные для расчета'!C46</f>
        <v>0</v>
      </c>
      <c r="F41" s="63">
        <v>1</v>
      </c>
      <c r="G41" s="382">
        <v>0.57</v>
      </c>
      <c r="H41" s="485">
        <f>E41*F41*G41</f>
        <v>0</v>
      </c>
      <c r="I41" s="749">
        <f>H41/$D$4*$D$5</f>
        <v>0</v>
      </c>
      <c r="J41" s="324">
        <v>3</v>
      </c>
      <c r="K41" s="723">
        <f>'Данные для расчета'!$C$7</f>
        <v>1.5</v>
      </c>
      <c r="L41" s="719">
        <f>'Данные для расчета'!$B$21</f>
        <v>1.2</v>
      </c>
      <c r="M41" s="719">
        <f>'Данные для расчета'!$B$23</f>
        <v>1.6</v>
      </c>
      <c r="N41" s="325">
        <f>$D$6*K41*L41*M41</f>
        <v>9959.04</v>
      </c>
      <c r="O41" s="313">
        <f>N41*$O$7*I41</f>
        <v>0</v>
      </c>
      <c r="P41" s="313">
        <f>O41*$P$7</f>
        <v>0</v>
      </c>
      <c r="Q41" s="835">
        <f>Мат!H88</f>
        <v>0</v>
      </c>
    </row>
    <row r="42" spans="1:17" ht="12" customHeight="1">
      <c r="A42" s="64">
        <v>41</v>
      </c>
      <c r="C42" s="829" t="s">
        <v>489</v>
      </c>
      <c r="D42" s="828" t="s">
        <v>493</v>
      </c>
      <c r="E42" s="580">
        <f>'Данные для расчета'!C47</f>
        <v>0</v>
      </c>
      <c r="F42" s="63">
        <v>1</v>
      </c>
      <c r="G42" s="382">
        <v>0.36</v>
      </c>
      <c r="H42" s="485">
        <f>E42*F42*G42</f>
        <v>0</v>
      </c>
      <c r="I42" s="749">
        <f>H42/$D$4*$D$5</f>
        <v>0</v>
      </c>
      <c r="J42" s="324">
        <v>3</v>
      </c>
      <c r="K42" s="723">
        <f>'Данные для расчета'!$C$7</f>
        <v>1.5</v>
      </c>
      <c r="L42" s="719">
        <f>'Данные для расчета'!$B$21</f>
        <v>1.2</v>
      </c>
      <c r="M42" s="719">
        <f>'Данные для расчета'!$B$23</f>
        <v>1.6</v>
      </c>
      <c r="N42" s="325">
        <f>$D$6*K42*L42*M42</f>
        <v>9959.04</v>
      </c>
      <c r="O42" s="313">
        <f>N42*$O$7*I42</f>
        <v>0</v>
      </c>
      <c r="P42" s="313">
        <f>O42*$P$7</f>
        <v>0</v>
      </c>
      <c r="Q42" s="835">
        <f>Мат!H95</f>
        <v>0</v>
      </c>
    </row>
    <row r="43" spans="1:17" ht="12" customHeight="1">
      <c r="A43" s="64">
        <v>46</v>
      </c>
      <c r="C43" s="829" t="s">
        <v>490</v>
      </c>
      <c r="D43" s="828" t="s">
        <v>493</v>
      </c>
      <c r="E43" s="580">
        <f>'Данные для расчета'!C48</f>
        <v>18.6475</v>
      </c>
      <c r="F43" s="63">
        <v>1</v>
      </c>
      <c r="G43" s="382">
        <v>0.49</v>
      </c>
      <c r="H43" s="485">
        <f>E43*F43*G43</f>
        <v>9.137275</v>
      </c>
      <c r="I43" s="749">
        <f>H43/$D$4*$D$5</f>
        <v>0.005152944612286004</v>
      </c>
      <c r="J43" s="324">
        <v>3</v>
      </c>
      <c r="K43" s="723">
        <f>'Данные для расчета'!$C$7</f>
        <v>1.5</v>
      </c>
      <c r="L43" s="719">
        <f>'Данные для расчета'!$B$21</f>
        <v>1.2</v>
      </c>
      <c r="M43" s="719">
        <f>'Данные для расчета'!$B$23</f>
        <v>1.6</v>
      </c>
      <c r="N43" s="325">
        <f>$D$6*K43*L43*M43</f>
        <v>9959.04</v>
      </c>
      <c r="O43" s="313">
        <f>N43*$O$7*I43</f>
        <v>615.8205781384896</v>
      </c>
      <c r="P43" s="313">
        <f>O43*$P$7</f>
        <v>184.7461734415469</v>
      </c>
      <c r="Q43" s="835">
        <f>Мат!H106</f>
        <v>4484.164325000001</v>
      </c>
    </row>
    <row r="44" spans="1:17" ht="12" customHeight="1">
      <c r="A44" s="64">
        <v>48</v>
      </c>
      <c r="C44" s="829" t="s">
        <v>491</v>
      </c>
      <c r="D44" s="828" t="s">
        <v>494</v>
      </c>
      <c r="E44" s="580">
        <f>'Данные для расчета'!C49</f>
        <v>0</v>
      </c>
      <c r="F44" s="63">
        <v>1</v>
      </c>
      <c r="G44" s="382">
        <v>0.19</v>
      </c>
      <c r="H44" s="485">
        <f>E44*F44*G44</f>
        <v>0</v>
      </c>
      <c r="I44" s="749">
        <f>H44/$D$4*$D$5</f>
        <v>0</v>
      </c>
      <c r="J44" s="324">
        <v>3</v>
      </c>
      <c r="K44" s="723">
        <f>'Данные для расчета'!$C$7</f>
        <v>1.5</v>
      </c>
      <c r="L44" s="719">
        <f>'Данные для расчета'!$B$21</f>
        <v>1.2</v>
      </c>
      <c r="M44" s="719">
        <f>'Данные для расчета'!$B$23</f>
        <v>1.6</v>
      </c>
      <c r="N44" s="325">
        <f>$D$6*K44*L44*M44</f>
        <v>9959.04</v>
      </c>
      <c r="O44" s="313">
        <f>N44*$O$7*I44</f>
        <v>0</v>
      </c>
      <c r="P44" s="313">
        <f>O44*$P$7</f>
        <v>0</v>
      </c>
      <c r="Q44" s="835">
        <f>Мат!H115</f>
        <v>0</v>
      </c>
    </row>
    <row r="45" spans="3:17" ht="12" customHeight="1">
      <c r="C45" s="481"/>
      <c r="H45" s="485"/>
      <c r="I45" s="749"/>
      <c r="J45" s="324"/>
      <c r="K45" s="723"/>
      <c r="L45" s="719"/>
      <c r="M45" s="719"/>
      <c r="N45" s="325"/>
      <c r="O45" s="313"/>
      <c r="P45" s="313"/>
      <c r="Q45" s="481"/>
    </row>
    <row r="46" spans="3:17" ht="12" customHeight="1">
      <c r="C46" s="443" t="s">
        <v>283</v>
      </c>
      <c r="D46" s="448"/>
      <c r="E46" s="581"/>
      <c r="F46" s="444"/>
      <c r="G46" s="444"/>
      <c r="H46" s="447">
        <f>SUM(H47:H48)</f>
        <v>0</v>
      </c>
      <c r="I46" s="833">
        <f>SUM(I47:I48)</f>
        <v>0</v>
      </c>
      <c r="J46" s="447"/>
      <c r="K46" s="447"/>
      <c r="L46" s="447"/>
      <c r="M46" s="447"/>
      <c r="N46" s="447">
        <f>SUM(N47:N48)</f>
        <v>19918.08</v>
      </c>
      <c r="O46" s="447">
        <f>SUM(O47:O48)</f>
        <v>0</v>
      </c>
      <c r="P46" s="447">
        <f>SUM(P47:P48)</f>
        <v>0</v>
      </c>
      <c r="Q46" s="834"/>
    </row>
    <row r="47" spans="3:17" ht="12" customHeight="1">
      <c r="C47" s="445" t="s">
        <v>284</v>
      </c>
      <c r="D47" s="830"/>
      <c r="E47" s="831"/>
      <c r="F47" s="76"/>
      <c r="G47" s="832"/>
      <c r="H47" s="485">
        <f>E47*F47*G47</f>
        <v>0</v>
      </c>
      <c r="I47" s="749">
        <f>H47/$D$4*$D$5</f>
        <v>0</v>
      </c>
      <c r="J47" s="324">
        <v>3</v>
      </c>
      <c r="K47" s="723">
        <f>'Данные для расчета'!$C$7</f>
        <v>1.5</v>
      </c>
      <c r="L47" s="719">
        <f>'Данные для расчета'!$B$21</f>
        <v>1.2</v>
      </c>
      <c r="M47" s="719">
        <f>'Данные для расчета'!$B$23</f>
        <v>1.6</v>
      </c>
      <c r="N47" s="325">
        <f>$D$6*K47*L47*M47</f>
        <v>9959.04</v>
      </c>
      <c r="O47" s="313">
        <f>N47*$O$7*I47</f>
        <v>0</v>
      </c>
      <c r="P47" s="342">
        <f>O47*$P$7</f>
        <v>0</v>
      </c>
      <c r="Q47" s="480"/>
    </row>
    <row r="48" spans="3:17" ht="12" customHeight="1">
      <c r="C48" s="442" t="s">
        <v>285</v>
      </c>
      <c r="D48" s="704"/>
      <c r="E48" s="705"/>
      <c r="F48" s="460"/>
      <c r="G48" s="706"/>
      <c r="H48" s="486">
        <f>E48*F48*G48</f>
        <v>0</v>
      </c>
      <c r="I48" s="750">
        <f>H48/$D$4*$D$5</f>
        <v>0</v>
      </c>
      <c r="J48" s="488">
        <v>3</v>
      </c>
      <c r="K48" s="724">
        <f>'Данные для расчета'!$C$7</f>
        <v>1.5</v>
      </c>
      <c r="L48" s="721">
        <f>'Данные для расчета'!$B$21</f>
        <v>1.2</v>
      </c>
      <c r="M48" s="721">
        <f>'Данные для расчета'!$B$23</f>
        <v>1.6</v>
      </c>
      <c r="N48" s="349">
        <f>$D$6*K48*L48*M48</f>
        <v>9959.04</v>
      </c>
      <c r="O48" s="350">
        <f>N48*$O$7*I48</f>
        <v>0</v>
      </c>
      <c r="P48" s="351">
        <f>O48*$P$7</f>
        <v>0</v>
      </c>
      <c r="Q48" s="556"/>
    </row>
    <row r="49" spans="14:16" ht="12.75">
      <c r="N49" s="118"/>
      <c r="O49" s="118"/>
      <c r="P49" s="118"/>
    </row>
  </sheetData>
  <sheetProtection/>
  <mergeCells count="22">
    <mergeCell ref="Q36:Q37"/>
    <mergeCell ref="B18:B21"/>
    <mergeCell ref="C25:C26"/>
    <mergeCell ref="C36:C37"/>
    <mergeCell ref="J36:J37"/>
    <mergeCell ref="G36:G37"/>
    <mergeCell ref="D36:F36"/>
    <mergeCell ref="C10:F10"/>
    <mergeCell ref="D8:F8"/>
    <mergeCell ref="J8:J9"/>
    <mergeCell ref="B14:B15"/>
    <mergeCell ref="G8:G9"/>
    <mergeCell ref="C8:C9"/>
    <mergeCell ref="P8:P9"/>
    <mergeCell ref="H8:H9"/>
    <mergeCell ref="I8:I9"/>
    <mergeCell ref="K36:O36"/>
    <mergeCell ref="P36:P37"/>
    <mergeCell ref="J18:J21"/>
    <mergeCell ref="H36:H37"/>
    <mergeCell ref="I36:I37"/>
    <mergeCell ref="K8:O8"/>
  </mergeCells>
  <printOptions gridLines="1"/>
  <pageMargins left="0.25" right="0.25" top="0.61" bottom="0.26" header="0.62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H16" sqref="H16"/>
    </sheetView>
  </sheetViews>
  <sheetFormatPr defaultColWidth="9.00390625" defaultRowHeight="12.75"/>
  <cols>
    <col min="1" max="1" width="4.125" style="64" customWidth="1"/>
    <col min="2" max="2" width="32.125" style="64" customWidth="1"/>
    <col min="3" max="3" width="9.125" style="64" customWidth="1"/>
    <col min="4" max="4" width="11.75390625" style="64" customWidth="1"/>
    <col min="5" max="5" width="14.375" style="64" customWidth="1"/>
    <col min="6" max="6" width="10.375" style="64" customWidth="1"/>
    <col min="7" max="7" width="9.625" style="64" customWidth="1"/>
    <col min="8" max="8" width="10.375" style="64" customWidth="1"/>
    <col min="9" max="9" width="10.125" style="64" customWidth="1"/>
    <col min="10" max="10" width="13.125" style="64" customWidth="1"/>
    <col min="11" max="11" width="12.125" style="64" customWidth="1"/>
    <col min="12" max="16384" width="9.125" style="64" customWidth="1"/>
  </cols>
  <sheetData>
    <row r="1" ht="12.75">
      <c r="B1" s="314" t="s">
        <v>408</v>
      </c>
    </row>
    <row r="2" ht="12.75">
      <c r="B2" s="314"/>
    </row>
    <row r="3" ht="12.75">
      <c r="A3" s="394" t="s">
        <v>305</v>
      </c>
    </row>
    <row r="4" spans="1:7" ht="14.25" customHeight="1">
      <c r="A4" s="1074" t="s">
        <v>120</v>
      </c>
      <c r="B4" s="1075"/>
      <c r="C4" s="1075"/>
      <c r="D4" s="1075"/>
      <c r="E4" s="1075"/>
      <c r="F4" s="1075"/>
      <c r="G4" s="1076"/>
    </row>
    <row r="5" spans="1:7" ht="17.25" customHeight="1">
      <c r="A5" s="123" t="s">
        <v>131</v>
      </c>
      <c r="B5" s="124"/>
      <c r="C5" s="124"/>
      <c r="D5" s="124"/>
      <c r="E5" s="124"/>
      <c r="F5" s="124"/>
      <c r="G5" s="125"/>
    </row>
    <row r="6" spans="1:7" s="127" customFormat="1" ht="54.75" customHeight="1">
      <c r="A6" s="110" t="s">
        <v>145</v>
      </c>
      <c r="B6" s="110" t="s">
        <v>158</v>
      </c>
      <c r="C6" s="126" t="s">
        <v>139</v>
      </c>
      <c r="D6" s="110" t="s">
        <v>146</v>
      </c>
      <c r="E6" s="120" t="s">
        <v>334</v>
      </c>
      <c r="F6" s="110" t="s">
        <v>159</v>
      </c>
      <c r="G6" s="107" t="s">
        <v>147</v>
      </c>
    </row>
    <row r="7" spans="1:7" s="67" customFormat="1" ht="12" customHeight="1">
      <c r="A7" s="128">
        <v>1</v>
      </c>
      <c r="B7" s="128" t="s">
        <v>140</v>
      </c>
      <c r="C7" s="129" t="s">
        <v>141</v>
      </c>
      <c r="D7" s="130">
        <v>1</v>
      </c>
      <c r="E7" s="131">
        <f>D7*МОП!$I$15</f>
        <v>0</v>
      </c>
      <c r="F7" s="132">
        <v>200</v>
      </c>
      <c r="G7" s="133">
        <f>F7*E7</f>
        <v>0</v>
      </c>
    </row>
    <row r="8" spans="1:7" s="67" customFormat="1" ht="12" customHeight="1">
      <c r="A8" s="128">
        <v>2</v>
      </c>
      <c r="B8" s="128" t="s">
        <v>142</v>
      </c>
      <c r="C8" s="129" t="s">
        <v>141</v>
      </c>
      <c r="D8" s="128">
        <v>12</v>
      </c>
      <c r="E8" s="131">
        <f>D8*МОП!$I$15</f>
        <v>0</v>
      </c>
      <c r="F8" s="132">
        <v>50</v>
      </c>
      <c r="G8" s="133">
        <f>F8*E8</f>
        <v>0</v>
      </c>
    </row>
    <row r="9" spans="1:7" s="67" customFormat="1" ht="12" customHeight="1">
      <c r="A9" s="128">
        <v>3</v>
      </c>
      <c r="B9" s="128" t="s">
        <v>143</v>
      </c>
      <c r="C9" s="129" t="s">
        <v>144</v>
      </c>
      <c r="D9" s="128">
        <v>1</v>
      </c>
      <c r="E9" s="134">
        <f>D9*МОП!$I$15/2</f>
        <v>0</v>
      </c>
      <c r="F9" s="132">
        <v>60</v>
      </c>
      <c r="G9" s="133">
        <f>F9*E9</f>
        <v>0</v>
      </c>
    </row>
    <row r="10" spans="1:7" s="67" customFormat="1" ht="12" customHeight="1">
      <c r="A10" s="135">
        <v>4</v>
      </c>
      <c r="B10" s="128" t="s">
        <v>157</v>
      </c>
      <c r="C10" s="129" t="s">
        <v>153</v>
      </c>
      <c r="D10" s="128">
        <f>МОП!D14</f>
        <v>52</v>
      </c>
      <c r="E10" s="131">
        <f>D10*МОП!$I$15</f>
        <v>0</v>
      </c>
      <c r="F10" s="136">
        <v>1</v>
      </c>
      <c r="G10" s="137">
        <f>E10*F10</f>
        <v>0</v>
      </c>
    </row>
    <row r="11" spans="1:7" s="67" customFormat="1" ht="12.75">
      <c r="A11" s="138"/>
      <c r="B11" s="139" t="s">
        <v>289</v>
      </c>
      <c r="C11" s="138"/>
      <c r="D11" s="138"/>
      <c r="E11" s="138"/>
      <c r="F11" s="138"/>
      <c r="G11" s="140">
        <f>SUM(G7:G9)</f>
        <v>0</v>
      </c>
    </row>
    <row r="12" spans="1:7" s="67" customFormat="1" ht="12.75">
      <c r="A12" s="72"/>
      <c r="B12" s="501"/>
      <c r="C12" s="73"/>
      <c r="D12" s="73"/>
      <c r="E12" s="73"/>
      <c r="F12" s="73"/>
      <c r="G12" s="499"/>
    </row>
    <row r="13" spans="1:11" ht="15" customHeight="1">
      <c r="A13" s="1087" t="s">
        <v>148</v>
      </c>
      <c r="B13" s="1088"/>
      <c r="C13" s="1088"/>
      <c r="D13" s="1088"/>
      <c r="E13" s="1088"/>
      <c r="F13" s="1088"/>
      <c r="G13" s="1088"/>
      <c r="H13" s="1088"/>
      <c r="I13" s="1088"/>
      <c r="J13" s="1088"/>
      <c r="K13" s="1089"/>
    </row>
    <row r="14" spans="1:11" s="127" customFormat="1" ht="13.5" customHeight="1">
      <c r="A14" s="1033" t="s">
        <v>145</v>
      </c>
      <c r="B14" s="1033" t="s">
        <v>158</v>
      </c>
      <c r="C14" s="1033" t="s">
        <v>139</v>
      </c>
      <c r="D14" s="1033" t="s">
        <v>146</v>
      </c>
      <c r="E14" s="1033" t="s">
        <v>334</v>
      </c>
      <c r="F14" s="1033" t="s">
        <v>159</v>
      </c>
      <c r="G14" s="1081" t="s">
        <v>147</v>
      </c>
      <c r="H14" s="1081"/>
      <c r="I14" s="1081"/>
      <c r="J14" s="1081"/>
      <c r="K14" s="1081"/>
    </row>
    <row r="15" spans="1:12" s="127" customFormat="1" ht="51.75" customHeight="1">
      <c r="A15" s="1068"/>
      <c r="B15" s="1068"/>
      <c r="C15" s="1068"/>
      <c r="D15" s="1068"/>
      <c r="E15" s="1068"/>
      <c r="F15" s="1068"/>
      <c r="G15" s="180" t="s">
        <v>335</v>
      </c>
      <c r="H15" s="180" t="s">
        <v>336</v>
      </c>
      <c r="I15" s="180" t="s">
        <v>337</v>
      </c>
      <c r="J15" s="180" t="s">
        <v>338</v>
      </c>
      <c r="K15" s="181" t="s">
        <v>339</v>
      </c>
      <c r="L15" s="182"/>
    </row>
    <row r="16" spans="1:11" s="161" customFormat="1" ht="12" customHeight="1">
      <c r="A16" s="156">
        <v>1</v>
      </c>
      <c r="B16" s="156" t="s">
        <v>149</v>
      </c>
      <c r="C16" s="157" t="s">
        <v>150</v>
      </c>
      <c r="D16" s="156">
        <v>1</v>
      </c>
      <c r="E16" s="158">
        <f>D16/3</f>
        <v>0.3333333333333333</v>
      </c>
      <c r="F16" s="159">
        <v>200</v>
      </c>
      <c r="G16" s="160">
        <f>$E16*$F16*МОП!$I$16</f>
        <v>3.877248591995823</v>
      </c>
      <c r="H16" s="160">
        <f>$E16*$F16*МОП!$I$19</f>
        <v>1.4757715862892093</v>
      </c>
      <c r="I16" s="160">
        <f>$E16*$F16*МОП!$I$22</f>
        <v>0</v>
      </c>
      <c r="J16" s="160"/>
      <c r="K16" s="160"/>
    </row>
    <row r="17" spans="1:11" s="161" customFormat="1" ht="12" customHeight="1">
      <c r="A17" s="156">
        <v>2</v>
      </c>
      <c r="B17" s="156" t="s">
        <v>151</v>
      </c>
      <c r="C17" s="157" t="s">
        <v>150</v>
      </c>
      <c r="D17" s="156">
        <v>1</v>
      </c>
      <c r="E17" s="158">
        <f>D17/3</f>
        <v>0.3333333333333333</v>
      </c>
      <c r="F17" s="159">
        <v>200</v>
      </c>
      <c r="G17" s="160">
        <f>$E17*$F17*МОП!$I$16</f>
        <v>3.877248591995823</v>
      </c>
      <c r="H17" s="160">
        <f>$E17*$F17*МОП!$I$19</f>
        <v>1.4757715862892093</v>
      </c>
      <c r="I17" s="160">
        <f>$E17*$F17*МОП!$I$22</f>
        <v>0</v>
      </c>
      <c r="J17" s="160"/>
      <c r="K17" s="160"/>
    </row>
    <row r="18" spans="1:11" s="161" customFormat="1" ht="12" customHeight="1">
      <c r="A18" s="156">
        <v>3</v>
      </c>
      <c r="B18" s="156" t="s">
        <v>152</v>
      </c>
      <c r="C18" s="157" t="s">
        <v>153</v>
      </c>
      <c r="D18" s="156">
        <v>1</v>
      </c>
      <c r="E18" s="162">
        <f>D18</f>
        <v>1</v>
      </c>
      <c r="F18" s="159">
        <v>200</v>
      </c>
      <c r="G18" s="160">
        <f>$E18*$F18*МОП!$I$16</f>
        <v>11.63174577598747</v>
      </c>
      <c r="H18" s="160">
        <f>$E18*$F18*МОП!$I$19</f>
        <v>4.427314758867629</v>
      </c>
      <c r="I18" s="160">
        <f>$E18*$F18*МОП!$I$22</f>
        <v>0</v>
      </c>
      <c r="J18" s="160"/>
      <c r="K18" s="160"/>
    </row>
    <row r="19" spans="1:11" s="161" customFormat="1" ht="12" customHeight="1">
      <c r="A19" s="156">
        <v>4</v>
      </c>
      <c r="B19" s="156" t="s">
        <v>154</v>
      </c>
      <c r="C19" s="157" t="s">
        <v>153</v>
      </c>
      <c r="D19" s="156">
        <v>53</v>
      </c>
      <c r="E19" s="162">
        <f>D19</f>
        <v>53</v>
      </c>
      <c r="F19" s="159">
        <v>30</v>
      </c>
      <c r="G19" s="160">
        <f>$E19*$F19*МОП!$I$16</f>
        <v>92.4723789191004</v>
      </c>
      <c r="H19" s="160">
        <f>$E19*$F19*МОП!$I$19</f>
        <v>35.197152332997646</v>
      </c>
      <c r="I19" s="160">
        <f>$E19*$F19*МОП!$I$22</f>
        <v>0</v>
      </c>
      <c r="J19" s="160"/>
      <c r="K19" s="160"/>
    </row>
    <row r="20" spans="1:11" s="161" customFormat="1" ht="12" customHeight="1">
      <c r="A20" s="156">
        <v>5</v>
      </c>
      <c r="B20" s="156" t="s">
        <v>157</v>
      </c>
      <c r="C20" s="157" t="s">
        <v>153</v>
      </c>
      <c r="D20" s="156">
        <v>302</v>
      </c>
      <c r="E20" s="162">
        <f>D20</f>
        <v>302</v>
      </c>
      <c r="F20" s="159">
        <v>1</v>
      </c>
      <c r="G20" s="160">
        <f>$E20*$F20*МОП!$I$16</f>
        <v>17.56393612174108</v>
      </c>
      <c r="H20" s="160">
        <f>$E20*$F20*МОП!$I$19</f>
        <v>6.68524528589012</v>
      </c>
      <c r="I20" s="160">
        <f>$E20*$F20*МОП!$I$22</f>
        <v>0</v>
      </c>
      <c r="J20" s="160"/>
      <c r="K20" s="160"/>
    </row>
    <row r="21" spans="1:11" s="168" customFormat="1" ht="12" customHeight="1">
      <c r="A21" s="163">
        <v>6</v>
      </c>
      <c r="B21" s="163" t="s">
        <v>342</v>
      </c>
      <c r="C21" s="164" t="s">
        <v>153</v>
      </c>
      <c r="D21" s="163">
        <v>1</v>
      </c>
      <c r="E21" s="165">
        <f>D21</f>
        <v>1</v>
      </c>
      <c r="F21" s="166">
        <v>200</v>
      </c>
      <c r="G21" s="167"/>
      <c r="H21" s="167"/>
      <c r="I21" s="167">
        <f>$E21*$F21*МОП!$I$23</f>
        <v>0</v>
      </c>
      <c r="J21" s="167">
        <f>$E21*$F21*МОП!$I$24</f>
        <v>28.59770929842229</v>
      </c>
      <c r="K21" s="167">
        <f>$E21*$F21*МОП!$I$25</f>
        <v>39.76733131923464</v>
      </c>
    </row>
    <row r="22" spans="1:11" s="168" customFormat="1" ht="12" customHeight="1">
      <c r="A22" s="163">
        <v>7</v>
      </c>
      <c r="B22" s="163" t="s">
        <v>341</v>
      </c>
      <c r="C22" s="164" t="s">
        <v>343</v>
      </c>
      <c r="D22" s="163">
        <v>1</v>
      </c>
      <c r="E22" s="169">
        <f>D22/2</f>
        <v>0.5</v>
      </c>
      <c r="F22" s="166">
        <v>200</v>
      </c>
      <c r="G22" s="167"/>
      <c r="H22" s="167"/>
      <c r="I22" s="167">
        <f>$E22*$F22*МОП!$I$23</f>
        <v>0</v>
      </c>
      <c r="J22" s="167">
        <f>$E22*$F22*МОП!$I$24</f>
        <v>14.298854649211146</v>
      </c>
      <c r="K22" s="167">
        <f>$E22*$F22*МОП!$I$25</f>
        <v>19.88366565961732</v>
      </c>
    </row>
    <row r="23" spans="1:11" s="168" customFormat="1" ht="12" customHeight="1">
      <c r="A23" s="163">
        <v>8</v>
      </c>
      <c r="B23" s="163" t="s">
        <v>152</v>
      </c>
      <c r="C23" s="164" t="s">
        <v>343</v>
      </c>
      <c r="D23" s="163">
        <v>1</v>
      </c>
      <c r="E23" s="169">
        <f>D23/2</f>
        <v>0.5</v>
      </c>
      <c r="F23" s="166">
        <v>200</v>
      </c>
      <c r="G23" s="167"/>
      <c r="H23" s="167"/>
      <c r="I23" s="167">
        <f>$E23*$F23*МОП!$I$23</f>
        <v>0</v>
      </c>
      <c r="J23" s="167">
        <f>$E23*$F23*МОП!$I$24</f>
        <v>14.298854649211146</v>
      </c>
      <c r="K23" s="167">
        <f>$E23*$F23*МОП!$I$25</f>
        <v>19.88366565961732</v>
      </c>
    </row>
    <row r="24" spans="1:11" s="168" customFormat="1" ht="12" customHeight="1">
      <c r="A24" s="163">
        <v>9</v>
      </c>
      <c r="B24" s="163" t="s">
        <v>154</v>
      </c>
      <c r="C24" s="164" t="s">
        <v>153</v>
      </c>
      <c r="D24" s="163">
        <v>70</v>
      </c>
      <c r="E24" s="165">
        <f>D24</f>
        <v>70</v>
      </c>
      <c r="F24" s="166">
        <v>30</v>
      </c>
      <c r="G24" s="167"/>
      <c r="H24" s="167"/>
      <c r="I24" s="167">
        <f>$E24*$F24*МОП!$I$23</f>
        <v>0</v>
      </c>
      <c r="J24" s="167">
        <f>$E24*$F24*МОП!$I$24</f>
        <v>300.27594763343404</v>
      </c>
      <c r="K24" s="167">
        <f>$E24*$F24*МОП!$I$25</f>
        <v>417.5569788519638</v>
      </c>
    </row>
    <row r="25" spans="1:11" s="168" customFormat="1" ht="12" customHeight="1">
      <c r="A25" s="163">
        <v>10</v>
      </c>
      <c r="B25" s="163" t="s">
        <v>307</v>
      </c>
      <c r="C25" s="164" t="s">
        <v>153</v>
      </c>
      <c r="D25" s="163">
        <v>1</v>
      </c>
      <c r="E25" s="165">
        <f>D25</f>
        <v>1</v>
      </c>
      <c r="F25" s="166">
        <v>200</v>
      </c>
      <c r="G25" s="167"/>
      <c r="H25" s="167"/>
      <c r="I25" s="167">
        <f>$E25*$F25*МОП!$I$23</f>
        <v>0</v>
      </c>
      <c r="J25" s="167">
        <f>$E25*$F25*МОП!$I$24</f>
        <v>28.59770929842229</v>
      </c>
      <c r="K25" s="167">
        <f>$E25*$F25*МОП!$I$25</f>
        <v>39.76733131923464</v>
      </c>
    </row>
    <row r="26" spans="1:11" s="67" customFormat="1" ht="12" customHeight="1">
      <c r="A26" s="128">
        <v>11</v>
      </c>
      <c r="B26" s="128" t="s">
        <v>155</v>
      </c>
      <c r="C26" s="155" t="s">
        <v>156</v>
      </c>
      <c r="D26" s="128">
        <v>1</v>
      </c>
      <c r="E26" s="134">
        <f>D26/2</f>
        <v>0.5</v>
      </c>
      <c r="F26" s="141">
        <v>2500</v>
      </c>
      <c r="G26" s="160">
        <f>$E26*$F26*МОП!$I$16</f>
        <v>72.69841109992169</v>
      </c>
      <c r="H26" s="160">
        <f>$E26*$F26*МОП!$I$19</f>
        <v>27.67071724292268</v>
      </c>
      <c r="I26" s="160">
        <f>$E26*$F26*МОП!I21</f>
        <v>0</v>
      </c>
      <c r="J26" s="167">
        <f>$E26*$F26*МОП!$I$24</f>
        <v>178.73568311513932</v>
      </c>
      <c r="K26" s="167">
        <f>$E26*$F26*МОП!$I$25</f>
        <v>248.54582074521653</v>
      </c>
    </row>
    <row r="27" spans="1:11" s="67" customFormat="1" ht="12.75">
      <c r="A27" s="128"/>
      <c r="B27" s="139" t="s">
        <v>289</v>
      </c>
      <c r="C27" s="135"/>
      <c r="D27" s="135"/>
      <c r="E27" s="135"/>
      <c r="F27" s="135"/>
      <c r="G27" s="140">
        <f>SUM(G16:G26)</f>
        <v>202.12096910074226</v>
      </c>
      <c r="H27" s="140">
        <f>SUM(H16:H26)</f>
        <v>76.93197279325649</v>
      </c>
      <c r="I27" s="137">
        <f>SUM(I16:I26)</f>
        <v>0</v>
      </c>
      <c r="J27" s="494">
        <f>SUM(J16:J26)</f>
        <v>564.8047586438403</v>
      </c>
      <c r="K27" s="140">
        <f>SUM(K16:K26)</f>
        <v>785.4047935548842</v>
      </c>
    </row>
    <row r="28" spans="1:11" s="67" customFormat="1" ht="12.75">
      <c r="A28" s="495"/>
      <c r="B28" s="496"/>
      <c r="C28" s="497"/>
      <c r="D28" s="497"/>
      <c r="E28" s="497"/>
      <c r="F28" s="497"/>
      <c r="G28" s="498"/>
      <c r="H28" s="498"/>
      <c r="I28" s="499"/>
      <c r="J28" s="499"/>
      <c r="K28" s="499"/>
    </row>
    <row r="29" spans="1:10" s="142" customFormat="1" ht="14.25" customHeight="1">
      <c r="A29" s="1084" t="s">
        <v>125</v>
      </c>
      <c r="B29" s="1085"/>
      <c r="C29" s="1085"/>
      <c r="D29" s="1085"/>
      <c r="E29" s="1085"/>
      <c r="F29" s="1085"/>
      <c r="G29" s="1085"/>
      <c r="H29" s="1086"/>
      <c r="I29" s="491"/>
      <c r="J29" s="491"/>
    </row>
    <row r="30" spans="1:10" s="142" customFormat="1" ht="13.5" customHeight="1">
      <c r="A30" s="1078" t="s">
        <v>240</v>
      </c>
      <c r="B30" s="1079"/>
      <c r="C30" s="1079"/>
      <c r="D30" s="1079"/>
      <c r="E30" s="1079"/>
      <c r="F30" s="1079"/>
      <c r="G30" s="1079"/>
      <c r="H30" s="1080"/>
      <c r="I30" s="492"/>
      <c r="J30" s="493"/>
    </row>
    <row r="31" spans="1:8" s="127" customFormat="1" ht="40.5" customHeight="1">
      <c r="A31" s="116" t="s">
        <v>95</v>
      </c>
      <c r="B31" s="116" t="s">
        <v>88</v>
      </c>
      <c r="C31" s="116" t="s">
        <v>90</v>
      </c>
      <c r="D31" s="116" t="s">
        <v>21</v>
      </c>
      <c r="E31" s="116" t="s">
        <v>112</v>
      </c>
      <c r="F31" s="110" t="s">
        <v>355</v>
      </c>
      <c r="G31" s="116" t="s">
        <v>89</v>
      </c>
      <c r="H31" s="150" t="s">
        <v>91</v>
      </c>
    </row>
    <row r="32" spans="1:8" ht="12.75">
      <c r="A32" s="151">
        <v>1</v>
      </c>
      <c r="B32" s="146" t="s">
        <v>18</v>
      </c>
      <c r="C32" s="152" t="s">
        <v>165</v>
      </c>
      <c r="D32" s="146">
        <v>0.007</v>
      </c>
      <c r="E32" s="146">
        <f>ТО!$E$11</f>
        <v>0</v>
      </c>
      <c r="F32" s="146">
        <f>E32*D32</f>
        <v>0</v>
      </c>
      <c r="G32" s="146">
        <v>3000</v>
      </c>
      <c r="H32" s="146">
        <f>F32*G32</f>
        <v>0</v>
      </c>
    </row>
    <row r="33" spans="1:8" ht="12.75">
      <c r="A33" s="151">
        <v>2</v>
      </c>
      <c r="B33" s="146" t="s">
        <v>19</v>
      </c>
      <c r="C33" s="152" t="s">
        <v>329</v>
      </c>
      <c r="D33" s="146">
        <v>1</v>
      </c>
      <c r="E33" s="146">
        <f>ТО!$E$11</f>
        <v>0</v>
      </c>
      <c r="F33" s="146">
        <f>E33*D33</f>
        <v>0</v>
      </c>
      <c r="G33" s="146">
        <v>20</v>
      </c>
      <c r="H33" s="146">
        <f>F33*G33</f>
        <v>0</v>
      </c>
    </row>
    <row r="34" spans="1:8" ht="12.75">
      <c r="A34" s="151">
        <v>2</v>
      </c>
      <c r="B34" s="146" t="s">
        <v>20</v>
      </c>
      <c r="C34" s="152" t="s">
        <v>64</v>
      </c>
      <c r="D34" s="146">
        <v>0.008</v>
      </c>
      <c r="E34" s="146">
        <f>ТО!$E$11</f>
        <v>0</v>
      </c>
      <c r="F34" s="146">
        <f>D34*E34</f>
        <v>0</v>
      </c>
      <c r="G34" s="146">
        <v>4000</v>
      </c>
      <c r="H34" s="146">
        <f>F34*G34</f>
        <v>0</v>
      </c>
    </row>
    <row r="35" spans="1:8" ht="12.75">
      <c r="A35" s="489">
        <v>3</v>
      </c>
      <c r="B35" s="489" t="s">
        <v>138</v>
      </c>
      <c r="C35" s="490"/>
      <c r="D35" s="490"/>
      <c r="E35" s="490"/>
      <c r="F35" s="490"/>
      <c r="G35" s="490"/>
      <c r="H35" s="489">
        <f>SUM(H32:H34)</f>
        <v>0</v>
      </c>
    </row>
    <row r="36" spans="1:8" ht="12.75">
      <c r="A36" s="500"/>
      <c r="B36" s="332"/>
      <c r="C36" s="483"/>
      <c r="D36" s="483"/>
      <c r="E36" s="483"/>
      <c r="F36" s="483"/>
      <c r="G36" s="483"/>
      <c r="H36" s="332"/>
    </row>
    <row r="37" spans="1:10" s="143" customFormat="1" ht="14.25" customHeight="1">
      <c r="A37" s="1078" t="s">
        <v>348</v>
      </c>
      <c r="B37" s="1079"/>
      <c r="C37" s="1079"/>
      <c r="D37" s="1079"/>
      <c r="E37" s="1079"/>
      <c r="F37" s="1079"/>
      <c r="G37" s="1079"/>
      <c r="H37" s="1079"/>
      <c r="I37" s="1079"/>
      <c r="J37" s="1080"/>
    </row>
    <row r="38" spans="1:10" s="127" customFormat="1" ht="12" customHeight="1">
      <c r="A38" s="1033" t="s">
        <v>145</v>
      </c>
      <c r="B38" s="1033" t="s">
        <v>82</v>
      </c>
      <c r="C38" s="1033" t="s">
        <v>139</v>
      </c>
      <c r="D38" s="1072" t="s">
        <v>72</v>
      </c>
      <c r="E38" s="1073"/>
      <c r="F38" s="1082" t="s">
        <v>84</v>
      </c>
      <c r="G38" s="1083"/>
      <c r="H38" s="1033" t="s">
        <v>355</v>
      </c>
      <c r="I38" s="1033" t="s">
        <v>86</v>
      </c>
      <c r="J38" s="1033" t="s">
        <v>87</v>
      </c>
    </row>
    <row r="39" spans="1:10" s="127" customFormat="1" ht="63.75">
      <c r="A39" s="1068"/>
      <c r="B39" s="1068"/>
      <c r="C39" s="1068"/>
      <c r="D39" s="116" t="s">
        <v>83</v>
      </c>
      <c r="E39" s="116" t="s">
        <v>85</v>
      </c>
      <c r="F39" s="220" t="s">
        <v>356</v>
      </c>
      <c r="G39" s="220" t="s">
        <v>357</v>
      </c>
      <c r="H39" s="1068"/>
      <c r="I39" s="1068"/>
      <c r="J39" s="1068"/>
    </row>
    <row r="40" spans="1:10" ht="12.75">
      <c r="A40" s="144">
        <v>1</v>
      </c>
      <c r="B40" s="144" t="s">
        <v>81</v>
      </c>
      <c r="C40" s="215" t="s">
        <v>73</v>
      </c>
      <c r="D40" s="144">
        <v>0.012</v>
      </c>
      <c r="E40" s="144"/>
      <c r="F40" s="221">
        <v>2</v>
      </c>
      <c r="G40" s="222"/>
      <c r="H40" s="146">
        <f>D40*F40+E40*G40</f>
        <v>0.024</v>
      </c>
      <c r="I40" s="145">
        <v>50</v>
      </c>
      <c r="J40" s="145">
        <f aca="true" t="shared" si="0" ref="J40:J45">H40*I40</f>
        <v>1.2</v>
      </c>
    </row>
    <row r="41" spans="1:10" ht="12.75">
      <c r="A41" s="144">
        <v>2</v>
      </c>
      <c r="B41" s="144" t="s">
        <v>80</v>
      </c>
      <c r="C41" s="215" t="s">
        <v>73</v>
      </c>
      <c r="D41" s="144">
        <v>0.012</v>
      </c>
      <c r="E41" s="144"/>
      <c r="F41" s="221">
        <v>2</v>
      </c>
      <c r="G41" s="222"/>
      <c r="H41" s="146">
        <f aca="true" t="shared" si="1" ref="H41:H46">D41*F41+E41*G41</f>
        <v>0.024</v>
      </c>
      <c r="I41" s="145">
        <v>45</v>
      </c>
      <c r="J41" s="145">
        <f t="shared" si="0"/>
        <v>1.08</v>
      </c>
    </row>
    <row r="42" spans="1:10" ht="12.75">
      <c r="A42" s="144">
        <v>3</v>
      </c>
      <c r="B42" s="144" t="s">
        <v>79</v>
      </c>
      <c r="C42" s="215" t="s">
        <v>73</v>
      </c>
      <c r="D42" s="144">
        <v>0.024</v>
      </c>
      <c r="E42" s="144"/>
      <c r="F42" s="221">
        <v>2</v>
      </c>
      <c r="G42" s="222"/>
      <c r="H42" s="146">
        <f t="shared" si="1"/>
        <v>0.048</v>
      </c>
      <c r="I42" s="145">
        <v>80</v>
      </c>
      <c r="J42" s="145">
        <f t="shared" si="0"/>
        <v>3.84</v>
      </c>
    </row>
    <row r="43" spans="1:10" ht="25.5">
      <c r="A43" s="146">
        <v>4</v>
      </c>
      <c r="B43" s="144" t="s">
        <v>77</v>
      </c>
      <c r="C43" s="215" t="s">
        <v>78</v>
      </c>
      <c r="D43" s="144"/>
      <c r="E43" s="147">
        <v>0.12</v>
      </c>
      <c r="F43" s="223"/>
      <c r="G43" s="222">
        <v>40</v>
      </c>
      <c r="H43" s="146">
        <f t="shared" si="1"/>
        <v>4.8</v>
      </c>
      <c r="I43" s="145">
        <v>5</v>
      </c>
      <c r="J43" s="145">
        <f t="shared" si="0"/>
        <v>24</v>
      </c>
    </row>
    <row r="44" spans="1:10" ht="12.75">
      <c r="A44" s="144">
        <v>5</v>
      </c>
      <c r="B44" s="144" t="s">
        <v>76</v>
      </c>
      <c r="C44" s="215" t="s">
        <v>73</v>
      </c>
      <c r="D44" s="144"/>
      <c r="E44" s="144">
        <v>0.308</v>
      </c>
      <c r="F44" s="221"/>
      <c r="G44" s="222">
        <v>40</v>
      </c>
      <c r="H44" s="146">
        <f t="shared" si="1"/>
        <v>12.32</v>
      </c>
      <c r="I44" s="145">
        <v>45</v>
      </c>
      <c r="J44" s="145">
        <f t="shared" si="0"/>
        <v>554.4</v>
      </c>
    </row>
    <row r="45" spans="1:10" ht="12.75">
      <c r="A45" s="146">
        <v>6</v>
      </c>
      <c r="B45" s="144" t="s">
        <v>74</v>
      </c>
      <c r="C45" s="215" t="s">
        <v>75</v>
      </c>
      <c r="D45" s="144">
        <v>0.08</v>
      </c>
      <c r="E45" s="144">
        <v>0.018</v>
      </c>
      <c r="F45" s="221"/>
      <c r="G45" s="222">
        <v>40</v>
      </c>
      <c r="H45" s="146">
        <f t="shared" si="1"/>
        <v>0.72</v>
      </c>
      <c r="I45" s="145">
        <v>8.6</v>
      </c>
      <c r="J45" s="145">
        <f t="shared" si="0"/>
        <v>6.191999999999999</v>
      </c>
    </row>
    <row r="46" spans="1:10" ht="12.75">
      <c r="A46" s="144">
        <v>7</v>
      </c>
      <c r="B46" s="148" t="s">
        <v>138</v>
      </c>
      <c r="C46" s="152"/>
      <c r="D46" s="146"/>
      <c r="E46" s="146"/>
      <c r="F46" s="222"/>
      <c r="G46" s="222"/>
      <c r="H46" s="151">
        <f t="shared" si="1"/>
        <v>0</v>
      </c>
      <c r="I46" s="146"/>
      <c r="J46" s="296">
        <f>SUM(J40:J45)</f>
        <v>590.712</v>
      </c>
    </row>
    <row r="47" spans="1:8" s="143" customFormat="1" ht="15.75" customHeight="1">
      <c r="A47" s="183" t="s">
        <v>31</v>
      </c>
      <c r="B47" s="184"/>
      <c r="C47" s="184"/>
      <c r="D47" s="184"/>
      <c r="E47" s="184"/>
      <c r="F47" s="184"/>
      <c r="G47" s="184"/>
      <c r="H47" s="185"/>
    </row>
    <row r="48" spans="1:10" ht="63.75">
      <c r="A48" s="116" t="s">
        <v>95</v>
      </c>
      <c r="B48" s="116" t="s">
        <v>88</v>
      </c>
      <c r="C48" s="116" t="s">
        <v>90</v>
      </c>
      <c r="D48" s="116" t="s">
        <v>30</v>
      </c>
      <c r="E48" s="116" t="s">
        <v>112</v>
      </c>
      <c r="F48" s="110" t="s">
        <v>355</v>
      </c>
      <c r="G48" s="116" t="s">
        <v>89</v>
      </c>
      <c r="H48" s="150" t="s">
        <v>91</v>
      </c>
      <c r="I48" s="65"/>
      <c r="J48" s="319"/>
    </row>
    <row r="49" spans="1:10" ht="15.75">
      <c r="A49" s="151">
        <v>1</v>
      </c>
      <c r="B49" s="146" t="s">
        <v>74</v>
      </c>
      <c r="C49" s="152" t="s">
        <v>64</v>
      </c>
      <c r="D49" s="146">
        <v>0.06</v>
      </c>
      <c r="E49" s="386">
        <f>ТО!E13</f>
        <v>657.009</v>
      </c>
      <c r="F49" s="146">
        <f>E49*D49</f>
        <v>39.42054</v>
      </c>
      <c r="G49" s="146">
        <v>8</v>
      </c>
      <c r="H49" s="296">
        <f>F49*G49</f>
        <v>315.36432</v>
      </c>
      <c r="I49" s="65"/>
      <c r="J49" s="296">
        <f>H49+J46</f>
        <v>906.07632</v>
      </c>
    </row>
    <row r="50" spans="1:8" s="143" customFormat="1" ht="15.75" customHeight="1">
      <c r="A50" s="183" t="s">
        <v>242</v>
      </c>
      <c r="B50" s="184"/>
      <c r="C50" s="184"/>
      <c r="D50" s="184"/>
      <c r="E50" s="184"/>
      <c r="F50" s="184"/>
      <c r="G50" s="184"/>
      <c r="H50" s="185"/>
    </row>
    <row r="51" spans="1:8" s="127" customFormat="1" ht="40.5" customHeight="1">
      <c r="A51" s="116" t="s">
        <v>95</v>
      </c>
      <c r="B51" s="116" t="s">
        <v>88</v>
      </c>
      <c r="C51" s="116" t="s">
        <v>90</v>
      </c>
      <c r="D51" s="116" t="s">
        <v>96</v>
      </c>
      <c r="E51" s="116" t="s">
        <v>112</v>
      </c>
      <c r="F51" s="110" t="s">
        <v>355</v>
      </c>
      <c r="G51" s="116" t="s">
        <v>89</v>
      </c>
      <c r="H51" s="150" t="s">
        <v>91</v>
      </c>
    </row>
    <row r="52" spans="1:8" ht="15.75">
      <c r="A52" s="151">
        <v>1</v>
      </c>
      <c r="B52" s="146" t="s">
        <v>71</v>
      </c>
      <c r="C52" s="152" t="s">
        <v>92</v>
      </c>
      <c r="D52" s="146">
        <v>1.08</v>
      </c>
      <c r="E52" s="153">
        <f>ТО!E22</f>
        <v>6</v>
      </c>
      <c r="F52" s="146">
        <f>E52*D52</f>
        <v>6.48</v>
      </c>
      <c r="G52" s="146">
        <v>200</v>
      </c>
      <c r="H52" s="146">
        <f>F52*G52</f>
        <v>1296</v>
      </c>
    </row>
    <row r="53" spans="1:8" ht="15.75">
      <c r="A53" s="151">
        <v>2</v>
      </c>
      <c r="B53" s="146" t="s">
        <v>93</v>
      </c>
      <c r="C53" s="152" t="s">
        <v>94</v>
      </c>
      <c r="D53" s="146">
        <v>1.02</v>
      </c>
      <c r="E53" s="153">
        <f>E52*4</f>
        <v>24</v>
      </c>
      <c r="F53" s="146">
        <f>D53*E53</f>
        <v>24.48</v>
      </c>
      <c r="G53" s="146">
        <v>10</v>
      </c>
      <c r="H53" s="146">
        <f>F53*G53</f>
        <v>244.8</v>
      </c>
    </row>
    <row r="54" spans="1:8" ht="12.75">
      <c r="A54" s="151">
        <v>3</v>
      </c>
      <c r="B54" s="151" t="s">
        <v>138</v>
      </c>
      <c r="C54" s="146"/>
      <c r="D54" s="146"/>
      <c r="E54" s="146"/>
      <c r="F54" s="146"/>
      <c r="G54" s="146"/>
      <c r="H54" s="151">
        <f>SUM(H52:H53)</f>
        <v>1540.8</v>
      </c>
    </row>
    <row r="55" spans="1:8" ht="28.5" customHeight="1">
      <c r="A55" s="1078" t="s">
        <v>29</v>
      </c>
      <c r="B55" s="1079"/>
      <c r="C55" s="1079"/>
      <c r="D55" s="1079"/>
      <c r="E55" s="1079"/>
      <c r="F55" s="1079"/>
      <c r="G55" s="1079"/>
      <c r="H55" s="1080"/>
    </row>
    <row r="56" spans="1:8" ht="12.75" customHeight="1">
      <c r="A56" s="297" t="s">
        <v>98</v>
      </c>
      <c r="B56" s="298"/>
      <c r="C56" s="298"/>
      <c r="D56" s="298"/>
      <c r="E56" s="298"/>
      <c r="F56" s="298"/>
      <c r="G56" s="298"/>
      <c r="H56" s="299"/>
    </row>
    <row r="57" spans="1:8" s="127" customFormat="1" ht="39.75" customHeight="1">
      <c r="A57" s="116" t="s">
        <v>95</v>
      </c>
      <c r="B57" s="116" t="s">
        <v>82</v>
      </c>
      <c r="C57" s="116" t="s">
        <v>139</v>
      </c>
      <c r="D57" s="116" t="s">
        <v>16</v>
      </c>
      <c r="E57" s="224" t="s">
        <v>112</v>
      </c>
      <c r="F57" s="110" t="s">
        <v>355</v>
      </c>
      <c r="G57" s="116" t="s">
        <v>89</v>
      </c>
      <c r="H57" s="150" t="s">
        <v>91</v>
      </c>
    </row>
    <row r="58" spans="1:8" ht="12.75" customHeight="1">
      <c r="A58" s="146">
        <v>1</v>
      </c>
      <c r="B58" s="144" t="s">
        <v>102</v>
      </c>
      <c r="C58" s="144" t="s">
        <v>99</v>
      </c>
      <c r="D58" s="144">
        <v>8</v>
      </c>
      <c r="E58" s="144">
        <f>ТО!$E$24</f>
        <v>8</v>
      </c>
      <c r="F58" s="146">
        <f>E58*D58</f>
        <v>64</v>
      </c>
      <c r="G58" s="145">
        <v>20</v>
      </c>
      <c r="H58" s="145">
        <f>F58*G58</f>
        <v>1280</v>
      </c>
    </row>
    <row r="59" spans="1:8" ht="12.75" customHeight="1">
      <c r="A59" s="146">
        <v>2</v>
      </c>
      <c r="B59" s="144" t="s">
        <v>100</v>
      </c>
      <c r="C59" s="144" t="s">
        <v>75</v>
      </c>
      <c r="D59" s="144">
        <v>0.02</v>
      </c>
      <c r="E59" s="144">
        <f>ТО!$E$24</f>
        <v>8</v>
      </c>
      <c r="F59" s="146">
        <f>E59*D59</f>
        <v>0.16</v>
      </c>
      <c r="G59" s="146">
        <v>250</v>
      </c>
      <c r="H59" s="145">
        <f>F59*G59</f>
        <v>40</v>
      </c>
    </row>
    <row r="60" spans="1:8" ht="12.75" customHeight="1">
      <c r="A60" s="146">
        <v>3</v>
      </c>
      <c r="B60" s="144" t="s">
        <v>101</v>
      </c>
      <c r="C60" s="144" t="s">
        <v>75</v>
      </c>
      <c r="D60" s="144">
        <v>0.013</v>
      </c>
      <c r="E60" s="144">
        <f>ТО!$E$24</f>
        <v>8</v>
      </c>
      <c r="F60" s="146">
        <f>E60*D60</f>
        <v>0.104</v>
      </c>
      <c r="G60" s="146">
        <v>250</v>
      </c>
      <c r="H60" s="145">
        <f>F60*G60</f>
        <v>26</v>
      </c>
    </row>
    <row r="61" spans="1:8" ht="12.75" customHeight="1">
      <c r="A61" s="146">
        <v>4</v>
      </c>
      <c r="B61" s="151" t="s">
        <v>138</v>
      </c>
      <c r="C61" s="146"/>
      <c r="D61" s="146"/>
      <c r="E61" s="146"/>
      <c r="F61" s="146"/>
      <c r="G61" s="146"/>
      <c r="H61" s="149">
        <f>SUM(H58:H60)</f>
        <v>1346</v>
      </c>
    </row>
    <row r="62" spans="1:8" ht="12.75" customHeight="1">
      <c r="A62" s="186" t="s">
        <v>103</v>
      </c>
      <c r="B62" s="187"/>
      <c r="C62" s="187"/>
      <c r="D62" s="187"/>
      <c r="E62" s="187"/>
      <c r="F62" s="187"/>
      <c r="G62" s="187"/>
      <c r="H62" s="187"/>
    </row>
    <row r="63" spans="1:8" s="127" customFormat="1" ht="48.75" customHeight="1">
      <c r="A63" s="116" t="s">
        <v>95</v>
      </c>
      <c r="B63" s="116" t="s">
        <v>82</v>
      </c>
      <c r="C63" s="116" t="s">
        <v>139</v>
      </c>
      <c r="D63" s="116" t="s">
        <v>24</v>
      </c>
      <c r="E63" s="224" t="s">
        <v>112</v>
      </c>
      <c r="F63" s="110" t="s">
        <v>355</v>
      </c>
      <c r="G63" s="116" t="s">
        <v>89</v>
      </c>
      <c r="H63" s="150" t="s">
        <v>91</v>
      </c>
    </row>
    <row r="64" spans="1:8" ht="12.75" customHeight="1">
      <c r="A64" s="146">
        <v>1</v>
      </c>
      <c r="B64" s="144" t="s">
        <v>107</v>
      </c>
      <c r="C64" s="144" t="s">
        <v>104</v>
      </c>
      <c r="D64" s="144">
        <v>0.002</v>
      </c>
      <c r="E64" s="144">
        <f>ТО!$E$25</f>
        <v>4</v>
      </c>
      <c r="F64" s="146">
        <f>E64*D64</f>
        <v>0.008</v>
      </c>
      <c r="G64" s="145">
        <v>3000</v>
      </c>
      <c r="H64" s="145">
        <f>F64*G64</f>
        <v>24</v>
      </c>
    </row>
    <row r="65" spans="1:8" ht="12.75" customHeight="1">
      <c r="A65" s="146">
        <v>2</v>
      </c>
      <c r="B65" s="144" t="s">
        <v>105</v>
      </c>
      <c r="C65" s="144" t="s">
        <v>106</v>
      </c>
      <c r="D65" s="144">
        <v>0.02</v>
      </c>
      <c r="E65" s="144">
        <f>ТО!$E$25</f>
        <v>4</v>
      </c>
      <c r="F65" s="146">
        <f>E65*D65</f>
        <v>0.08</v>
      </c>
      <c r="G65" s="145">
        <v>50</v>
      </c>
      <c r="H65" s="145">
        <f>F65*G65</f>
        <v>4</v>
      </c>
    </row>
    <row r="66" spans="1:8" ht="12.75" customHeight="1">
      <c r="A66" s="146">
        <v>3</v>
      </c>
      <c r="B66" s="144" t="s">
        <v>26</v>
      </c>
      <c r="C66" s="144" t="s">
        <v>329</v>
      </c>
      <c r="D66" s="144">
        <v>1</v>
      </c>
      <c r="E66" s="144">
        <f>ТО!$E$26</f>
        <v>4</v>
      </c>
      <c r="F66" s="146">
        <f>E66*D66</f>
        <v>4</v>
      </c>
      <c r="G66" s="145">
        <v>70</v>
      </c>
      <c r="H66" s="145">
        <f>F66*G66</f>
        <v>280</v>
      </c>
    </row>
    <row r="67" spans="1:8" ht="12.75" customHeight="1">
      <c r="A67" s="146">
        <v>4</v>
      </c>
      <c r="B67" s="144" t="s">
        <v>27</v>
      </c>
      <c r="C67" s="144" t="s">
        <v>25</v>
      </c>
      <c r="D67" s="144">
        <v>0.018</v>
      </c>
      <c r="E67" s="144">
        <f>ТО!$E$26</f>
        <v>4</v>
      </c>
      <c r="F67" s="146">
        <f>E67*D67</f>
        <v>0.072</v>
      </c>
      <c r="G67" s="145">
        <v>70</v>
      </c>
      <c r="H67" s="145">
        <f>F67*G67</f>
        <v>5.04</v>
      </c>
    </row>
    <row r="68" spans="1:8" ht="12.75" customHeight="1">
      <c r="A68" s="146"/>
      <c r="B68" s="148" t="s">
        <v>138</v>
      </c>
      <c r="C68" s="146"/>
      <c r="D68" s="146"/>
      <c r="E68" s="146"/>
      <c r="F68" s="146"/>
      <c r="G68" s="146"/>
      <c r="H68" s="149">
        <f>SUM(H64:H67)</f>
        <v>313.04</v>
      </c>
    </row>
    <row r="69" spans="1:8" ht="12.75" customHeight="1">
      <c r="A69" s="293"/>
      <c r="B69" s="294"/>
      <c r="C69" s="295"/>
      <c r="D69" s="295"/>
      <c r="E69" s="295"/>
      <c r="F69" s="295"/>
      <c r="G69" s="295"/>
      <c r="H69" s="296">
        <f>H61+H68</f>
        <v>1659.04</v>
      </c>
    </row>
    <row r="70" spans="1:8" ht="12.75" customHeight="1">
      <c r="A70" s="1077" t="s">
        <v>249</v>
      </c>
      <c r="B70" s="1077"/>
      <c r="C70" s="1077"/>
      <c r="D70" s="1077"/>
      <c r="E70" s="1077"/>
      <c r="F70" s="1077"/>
      <c r="G70" s="1077"/>
      <c r="H70" s="1077"/>
    </row>
    <row r="71" spans="1:8" ht="12.75" customHeight="1">
      <c r="A71" s="146">
        <v>1</v>
      </c>
      <c r="B71" s="144" t="s">
        <v>164</v>
      </c>
      <c r="C71" s="144" t="s">
        <v>165</v>
      </c>
      <c r="D71" s="144">
        <v>0.17</v>
      </c>
      <c r="E71" s="144">
        <f>ТО!$E$27</f>
        <v>51</v>
      </c>
      <c r="F71" s="146">
        <f>E71*D71/100</f>
        <v>0.0867</v>
      </c>
      <c r="G71" s="146">
        <v>1500</v>
      </c>
      <c r="H71" s="145">
        <f>F71*G71</f>
        <v>130.05</v>
      </c>
    </row>
    <row r="72" spans="1:8" ht="12.75" customHeight="1">
      <c r="A72" s="146">
        <v>2</v>
      </c>
      <c r="B72" s="144" t="s">
        <v>97</v>
      </c>
      <c r="C72" s="144" t="s">
        <v>166</v>
      </c>
      <c r="D72" s="144">
        <v>0.03</v>
      </c>
      <c r="E72" s="144">
        <f>ТО!$E$27</f>
        <v>51</v>
      </c>
      <c r="F72" s="146">
        <f>E72*D72/100</f>
        <v>0.015300000000000001</v>
      </c>
      <c r="G72" s="146">
        <v>2500</v>
      </c>
      <c r="H72" s="145">
        <f>F72*G72</f>
        <v>38.25</v>
      </c>
    </row>
    <row r="73" spans="1:8" ht="12.75" customHeight="1">
      <c r="A73" s="146">
        <v>3</v>
      </c>
      <c r="B73" s="151" t="s">
        <v>113</v>
      </c>
      <c r="C73" s="146"/>
      <c r="D73" s="146"/>
      <c r="E73" s="146"/>
      <c r="F73" s="146"/>
      <c r="G73" s="146"/>
      <c r="H73" s="149">
        <f>SUM(H71:H72)</f>
        <v>168.3</v>
      </c>
    </row>
    <row r="74" spans="1:8" ht="12.75" customHeight="1">
      <c r="A74" s="293"/>
      <c r="B74" s="502"/>
      <c r="C74" s="295"/>
      <c r="D74" s="295"/>
      <c r="E74" s="295"/>
      <c r="F74" s="295"/>
      <c r="G74" s="295"/>
      <c r="H74" s="503"/>
    </row>
    <row r="75" spans="1:8" ht="14.25" customHeight="1">
      <c r="A75" s="1069" t="s">
        <v>126</v>
      </c>
      <c r="B75" s="1070"/>
      <c r="C75" s="1070"/>
      <c r="D75" s="1070"/>
      <c r="E75" s="1070"/>
      <c r="F75" s="1070"/>
      <c r="G75" s="1070"/>
      <c r="H75" s="1071"/>
    </row>
    <row r="76" ht="13.5">
      <c r="A76" s="143" t="s">
        <v>350</v>
      </c>
    </row>
    <row r="77" spans="1:8" s="127" customFormat="1" ht="40.5" customHeight="1">
      <c r="A77" s="116" t="s">
        <v>95</v>
      </c>
      <c r="B77" s="116" t="s">
        <v>82</v>
      </c>
      <c r="C77" s="116" t="s">
        <v>139</v>
      </c>
      <c r="D77" s="116" t="s">
        <v>168</v>
      </c>
      <c r="E77" s="116" t="s">
        <v>112</v>
      </c>
      <c r="F77" s="110" t="s">
        <v>355</v>
      </c>
      <c r="G77" s="116" t="s">
        <v>89</v>
      </c>
      <c r="H77" s="150" t="s">
        <v>91</v>
      </c>
    </row>
    <row r="78" spans="1:8" ht="12.75">
      <c r="A78" s="146">
        <v>1</v>
      </c>
      <c r="B78" s="144" t="s">
        <v>169</v>
      </c>
      <c r="C78" s="144" t="s">
        <v>167</v>
      </c>
      <c r="D78" s="144">
        <v>0.2</v>
      </c>
      <c r="E78" s="146">
        <f>ТО!$E$32</f>
        <v>8</v>
      </c>
      <c r="F78" s="146">
        <f>E78*D78/100</f>
        <v>0.016</v>
      </c>
      <c r="G78" s="146">
        <v>100</v>
      </c>
      <c r="H78" s="145">
        <f>F78*G78</f>
        <v>1.6</v>
      </c>
    </row>
    <row r="79" spans="1:8" ht="12.75">
      <c r="A79" s="146">
        <v>2</v>
      </c>
      <c r="B79" s="144" t="s">
        <v>170</v>
      </c>
      <c r="C79" s="144" t="s">
        <v>167</v>
      </c>
      <c r="D79" s="144">
        <v>5</v>
      </c>
      <c r="E79" s="146">
        <f>ТО!$E$32</f>
        <v>8</v>
      </c>
      <c r="F79" s="146">
        <f>E79*D79/100</f>
        <v>0.4</v>
      </c>
      <c r="G79" s="154">
        <v>50</v>
      </c>
      <c r="H79" s="145">
        <f>F79*G79</f>
        <v>20</v>
      </c>
    </row>
    <row r="80" spans="1:8" ht="12.75">
      <c r="A80" s="146">
        <v>3</v>
      </c>
      <c r="B80" s="148" t="s">
        <v>138</v>
      </c>
      <c r="C80" s="146"/>
      <c r="D80" s="146"/>
      <c r="E80" s="146"/>
      <c r="F80" s="146"/>
      <c r="G80" s="146"/>
      <c r="H80" s="149">
        <f>SUM(H78:H79)</f>
        <v>21.6</v>
      </c>
    </row>
    <row r="82" spans="1:8" ht="12.75">
      <c r="A82" s="818"/>
      <c r="B82" s="819" t="s">
        <v>32</v>
      </c>
      <c r="C82" s="820"/>
      <c r="D82" s="820"/>
      <c r="E82" s="820"/>
      <c r="F82" s="820"/>
      <c r="G82" s="820"/>
      <c r="H82" s="821"/>
    </row>
    <row r="83" spans="2:8" ht="13.5">
      <c r="B83" s="816" t="s">
        <v>488</v>
      </c>
      <c r="C83" s="817"/>
      <c r="D83" s="817"/>
      <c r="E83" s="817"/>
      <c r="F83" s="817"/>
      <c r="G83" s="817"/>
      <c r="H83" s="817"/>
    </row>
    <row r="84" spans="2:8" ht="51">
      <c r="B84" s="267"/>
      <c r="C84" s="811" t="s">
        <v>139</v>
      </c>
      <c r="D84" s="811" t="s">
        <v>506</v>
      </c>
      <c r="E84" s="811" t="s">
        <v>112</v>
      </c>
      <c r="F84" s="811" t="s">
        <v>355</v>
      </c>
      <c r="G84" s="811" t="s">
        <v>89</v>
      </c>
      <c r="H84" s="689" t="s">
        <v>91</v>
      </c>
    </row>
    <row r="85" spans="2:8" ht="12.75">
      <c r="B85" s="528" t="s">
        <v>501</v>
      </c>
      <c r="C85" s="146" t="s">
        <v>504</v>
      </c>
      <c r="D85" s="146">
        <v>0.069</v>
      </c>
      <c r="E85" s="146">
        <f>ТО!$E$41</f>
        <v>0</v>
      </c>
      <c r="F85" s="146">
        <f>E85*D85/100</f>
        <v>0</v>
      </c>
      <c r="G85" s="146"/>
      <c r="H85" s="145">
        <f>F85*G85</f>
        <v>0</v>
      </c>
    </row>
    <row r="86" spans="2:8" ht="12.75">
      <c r="B86" s="528" t="s">
        <v>502</v>
      </c>
      <c r="C86" s="146" t="s">
        <v>505</v>
      </c>
      <c r="D86" s="146">
        <v>1.1</v>
      </c>
      <c r="E86" s="146">
        <f>ТО!$E$41</f>
        <v>0</v>
      </c>
      <c r="F86" s="146">
        <f>E86*D86/100</f>
        <v>0</v>
      </c>
      <c r="G86" s="146">
        <v>70</v>
      </c>
      <c r="H86" s="145">
        <f>F86*G86</f>
        <v>0</v>
      </c>
    </row>
    <row r="87" spans="2:8" ht="12.75">
      <c r="B87" s="528" t="s">
        <v>503</v>
      </c>
      <c r="C87" s="146" t="s">
        <v>505</v>
      </c>
      <c r="D87" s="146">
        <v>52</v>
      </c>
      <c r="E87" s="146">
        <f>ТО!$E$41</f>
        <v>0</v>
      </c>
      <c r="F87" s="146">
        <f>E87*D87/100</f>
        <v>0</v>
      </c>
      <c r="G87" s="146"/>
      <c r="H87" s="145">
        <f>F87*G87</f>
        <v>0</v>
      </c>
    </row>
    <row r="88" spans="1:8" ht="12.75">
      <c r="A88" s="146"/>
      <c r="B88" s="148" t="s">
        <v>138</v>
      </c>
      <c r="C88" s="146"/>
      <c r="D88" s="146"/>
      <c r="E88" s="146"/>
      <c r="F88" s="146"/>
      <c r="G88" s="146"/>
      <c r="H88" s="149">
        <f>SUM(H85:H87)</f>
        <v>0</v>
      </c>
    </row>
    <row r="89" spans="2:8" ht="13.5">
      <c r="B89" s="816" t="s">
        <v>489</v>
      </c>
      <c r="C89" s="817"/>
      <c r="D89" s="817"/>
      <c r="E89" s="817"/>
      <c r="F89" s="817"/>
      <c r="G89" s="817"/>
      <c r="H89" s="817"/>
    </row>
    <row r="90" spans="2:8" ht="63.75">
      <c r="B90" s="267"/>
      <c r="C90" s="811" t="s">
        <v>139</v>
      </c>
      <c r="D90" s="811" t="s">
        <v>511</v>
      </c>
      <c r="E90" s="811" t="s">
        <v>112</v>
      </c>
      <c r="F90" s="811" t="s">
        <v>355</v>
      </c>
      <c r="G90" s="811" t="s">
        <v>89</v>
      </c>
      <c r="H90" s="689" t="s">
        <v>91</v>
      </c>
    </row>
    <row r="91" spans="2:8" ht="12.75">
      <c r="B91" s="759" t="s">
        <v>507</v>
      </c>
      <c r="C91" s="858" t="s">
        <v>92</v>
      </c>
      <c r="D91" s="146">
        <v>2.03</v>
      </c>
      <c r="E91" s="146">
        <f>ТО!$E$42</f>
        <v>0</v>
      </c>
      <c r="F91" s="146">
        <f>D91*E91</f>
        <v>0</v>
      </c>
      <c r="G91" s="146">
        <v>16</v>
      </c>
      <c r="H91" s="145">
        <f>F91*G91</f>
        <v>0</v>
      </c>
    </row>
    <row r="92" spans="2:8" ht="12.75">
      <c r="B92" s="759" t="s">
        <v>508</v>
      </c>
      <c r="C92" s="858" t="s">
        <v>505</v>
      </c>
      <c r="D92" s="146">
        <v>0.002</v>
      </c>
      <c r="E92" s="146">
        <f>ТО!$E$42</f>
        <v>0</v>
      </c>
      <c r="F92" s="146">
        <f>D92*E92</f>
        <v>0</v>
      </c>
      <c r="G92" s="146">
        <v>50</v>
      </c>
      <c r="H92" s="145">
        <f>F92*G92</f>
        <v>0</v>
      </c>
    </row>
    <row r="93" spans="2:8" ht="12.75">
      <c r="B93" s="859" t="s">
        <v>509</v>
      </c>
      <c r="C93" s="858" t="s">
        <v>505</v>
      </c>
      <c r="D93" s="146">
        <v>5.8</v>
      </c>
      <c r="E93" s="146">
        <f>ТО!$E$42</f>
        <v>0</v>
      </c>
      <c r="F93" s="146">
        <f>D93*E93</f>
        <v>0</v>
      </c>
      <c r="G93" s="146">
        <v>50</v>
      </c>
      <c r="H93" s="145">
        <f>F93*G93</f>
        <v>0</v>
      </c>
    </row>
    <row r="94" spans="2:8" ht="12.75">
      <c r="B94" s="859" t="s">
        <v>510</v>
      </c>
      <c r="C94" s="858" t="s">
        <v>64</v>
      </c>
      <c r="D94" s="146">
        <v>0.06</v>
      </c>
      <c r="E94" s="146">
        <f>ТО!$E$42</f>
        <v>0</v>
      </c>
      <c r="F94" s="146">
        <f>D94*E94</f>
        <v>0</v>
      </c>
      <c r="G94" s="146">
        <v>600</v>
      </c>
      <c r="H94" s="145">
        <f>F94*G94</f>
        <v>0</v>
      </c>
    </row>
    <row r="95" spans="1:8" ht="12.75">
      <c r="A95" s="146"/>
      <c r="B95" s="148" t="s">
        <v>138</v>
      </c>
      <c r="C95" s="146"/>
      <c r="D95" s="146"/>
      <c r="E95" s="146"/>
      <c r="F95" s="146"/>
      <c r="G95" s="146"/>
      <c r="H95" s="149">
        <f>SUM(H91:H94)</f>
        <v>0</v>
      </c>
    </row>
    <row r="96" spans="2:8" ht="13.5">
      <c r="B96" s="816" t="s">
        <v>490</v>
      </c>
      <c r="C96" s="817"/>
      <c r="D96" s="817"/>
      <c r="E96" s="817"/>
      <c r="F96" s="817"/>
      <c r="G96" s="817"/>
      <c r="H96" s="817"/>
    </row>
    <row r="97" spans="2:8" ht="63.75">
      <c r="B97" s="267"/>
      <c r="C97" s="811" t="s">
        <v>139</v>
      </c>
      <c r="D97" s="811" t="s">
        <v>511</v>
      </c>
      <c r="E97" s="811" t="s">
        <v>112</v>
      </c>
      <c r="F97" s="811" t="s">
        <v>355</v>
      </c>
      <c r="G97" s="811" t="s">
        <v>89</v>
      </c>
      <c r="H97" s="689" t="s">
        <v>91</v>
      </c>
    </row>
    <row r="98" spans="2:8" ht="12.75">
      <c r="B98" s="759" t="s">
        <v>512</v>
      </c>
      <c r="C98" s="146" t="s">
        <v>92</v>
      </c>
      <c r="D98" s="146">
        <v>1.32</v>
      </c>
      <c r="E98" s="146">
        <f>ТО!$E$43</f>
        <v>18.6475</v>
      </c>
      <c r="F98" s="146">
        <f aca="true" t="shared" si="2" ref="F98:F105">D98*E98</f>
        <v>24.614700000000003</v>
      </c>
      <c r="G98" s="146">
        <v>100</v>
      </c>
      <c r="H98" s="145">
        <f aca="true" t="shared" si="3" ref="H98:H105">F98*G98</f>
        <v>2461.4700000000003</v>
      </c>
    </row>
    <row r="99" spans="2:8" ht="12.75">
      <c r="B99" s="759" t="s">
        <v>513</v>
      </c>
      <c r="C99" s="146" t="s">
        <v>505</v>
      </c>
      <c r="D99" s="146">
        <v>0.106</v>
      </c>
      <c r="E99" s="146">
        <f>ТО!$E$43</f>
        <v>18.6475</v>
      </c>
      <c r="F99" s="146">
        <f t="shared" si="2"/>
        <v>1.9766350000000001</v>
      </c>
      <c r="G99" s="146">
        <v>70</v>
      </c>
      <c r="H99" s="145">
        <f t="shared" si="3"/>
        <v>138.36445</v>
      </c>
    </row>
    <row r="100" spans="2:8" ht="12.75">
      <c r="B100" s="759" t="s">
        <v>515</v>
      </c>
      <c r="C100" s="146" t="s">
        <v>116</v>
      </c>
      <c r="D100" s="146">
        <v>5</v>
      </c>
      <c r="E100" s="146">
        <f>ТО!$E$43</f>
        <v>18.6475</v>
      </c>
      <c r="F100" s="146">
        <f t="shared" si="2"/>
        <v>93.23750000000001</v>
      </c>
      <c r="G100" s="146">
        <v>10</v>
      </c>
      <c r="H100" s="145">
        <f t="shared" si="3"/>
        <v>932.3750000000001</v>
      </c>
    </row>
    <row r="101" spans="2:8" ht="12.75">
      <c r="B101" s="759" t="s">
        <v>514</v>
      </c>
      <c r="C101" s="146" t="s">
        <v>116</v>
      </c>
      <c r="D101" s="146">
        <v>5</v>
      </c>
      <c r="E101" s="146">
        <f>ТО!$E$43</f>
        <v>18.6475</v>
      </c>
      <c r="F101" s="146">
        <f t="shared" si="2"/>
        <v>93.23750000000001</v>
      </c>
      <c r="G101" s="146">
        <v>5</v>
      </c>
      <c r="H101" s="145">
        <f t="shared" si="3"/>
        <v>466.18750000000006</v>
      </c>
    </row>
    <row r="102" spans="2:8" ht="12.75">
      <c r="B102" s="759" t="s">
        <v>516</v>
      </c>
      <c r="C102" s="146" t="s">
        <v>505</v>
      </c>
      <c r="D102" s="146">
        <v>0.015</v>
      </c>
      <c r="E102" s="146">
        <f>ТО!$E$43</f>
        <v>18.6475</v>
      </c>
      <c r="F102" s="146">
        <f t="shared" si="2"/>
        <v>0.2797125</v>
      </c>
      <c r="G102" s="146">
        <v>70</v>
      </c>
      <c r="H102" s="145">
        <f t="shared" si="3"/>
        <v>19.579874999999998</v>
      </c>
    </row>
    <row r="103" spans="2:8" ht="12.75">
      <c r="B103" s="759" t="s">
        <v>517</v>
      </c>
      <c r="C103" s="146" t="s">
        <v>116</v>
      </c>
      <c r="D103" s="146">
        <v>0.2</v>
      </c>
      <c r="E103" s="146">
        <f>ТО!$E$43</f>
        <v>18.6475</v>
      </c>
      <c r="F103" s="146">
        <f t="shared" si="2"/>
        <v>3.7295000000000003</v>
      </c>
      <c r="G103" s="146">
        <v>50</v>
      </c>
      <c r="H103" s="145">
        <f t="shared" si="3"/>
        <v>186.47500000000002</v>
      </c>
    </row>
    <row r="104" spans="2:8" ht="12.75">
      <c r="B104" s="759" t="s">
        <v>519</v>
      </c>
      <c r="C104" s="146" t="s">
        <v>505</v>
      </c>
      <c r="D104" s="146">
        <v>0.05</v>
      </c>
      <c r="E104" s="146">
        <f>ТО!$E$43</f>
        <v>18.6475</v>
      </c>
      <c r="F104" s="146">
        <f t="shared" si="2"/>
        <v>0.9323750000000001</v>
      </c>
      <c r="G104" s="146">
        <v>100</v>
      </c>
      <c r="H104" s="145">
        <f t="shared" si="3"/>
        <v>93.23750000000001</v>
      </c>
    </row>
    <row r="105" spans="2:8" ht="12.75">
      <c r="B105" s="860" t="s">
        <v>518</v>
      </c>
      <c r="C105" s="146" t="s">
        <v>505</v>
      </c>
      <c r="D105" s="146">
        <v>0.1</v>
      </c>
      <c r="E105" s="146">
        <f>ТО!$E$43</f>
        <v>18.6475</v>
      </c>
      <c r="F105" s="146">
        <f t="shared" si="2"/>
        <v>1.8647500000000001</v>
      </c>
      <c r="G105" s="146">
        <v>100</v>
      </c>
      <c r="H105" s="145">
        <f t="shared" si="3"/>
        <v>186.47500000000002</v>
      </c>
    </row>
    <row r="106" spans="1:8" ht="12.75">
      <c r="A106" s="146"/>
      <c r="B106" s="148" t="s">
        <v>138</v>
      </c>
      <c r="C106" s="146"/>
      <c r="D106" s="146"/>
      <c r="E106" s="146"/>
      <c r="F106" s="146"/>
      <c r="G106" s="146"/>
      <c r="H106" s="149">
        <f>SUM(H98:H105)</f>
        <v>4484.164325000001</v>
      </c>
    </row>
    <row r="107" spans="2:8" ht="13.5">
      <c r="B107" s="816" t="s">
        <v>491</v>
      </c>
      <c r="C107" s="817"/>
      <c r="D107" s="817"/>
      <c r="E107" s="817"/>
      <c r="F107" s="817"/>
      <c r="G107" s="817"/>
      <c r="H107" s="817"/>
    </row>
    <row r="108" spans="2:8" ht="38.25">
      <c r="B108" s="267"/>
      <c r="C108" s="811" t="s">
        <v>139</v>
      </c>
      <c r="D108" s="811" t="s">
        <v>528</v>
      </c>
      <c r="E108" s="811" t="s">
        <v>112</v>
      </c>
      <c r="F108" s="811" t="s">
        <v>355</v>
      </c>
      <c r="G108" s="811" t="s">
        <v>89</v>
      </c>
      <c r="H108" s="689" t="s">
        <v>91</v>
      </c>
    </row>
    <row r="109" spans="2:8" ht="12.75">
      <c r="B109" s="759" t="s">
        <v>520</v>
      </c>
      <c r="C109" s="146" t="s">
        <v>521</v>
      </c>
      <c r="D109" s="146">
        <v>1</v>
      </c>
      <c r="E109" s="146">
        <f>ТО!$E$44</f>
        <v>0</v>
      </c>
      <c r="F109" s="146">
        <f aca="true" t="shared" si="4" ref="F109:F114">D109*E109</f>
        <v>0</v>
      </c>
      <c r="G109" s="146"/>
      <c r="H109" s="145">
        <f aca="true" t="shared" si="5" ref="H109:H114">F109*G109</f>
        <v>0</v>
      </c>
    </row>
    <row r="110" spans="2:8" ht="12.75">
      <c r="B110" s="759" t="s">
        <v>527</v>
      </c>
      <c r="C110" s="146" t="s">
        <v>522</v>
      </c>
      <c r="D110" s="146">
        <v>0.006</v>
      </c>
      <c r="E110" s="146">
        <f>ТО!$E$44</f>
        <v>0</v>
      </c>
      <c r="F110" s="146">
        <f t="shared" si="4"/>
        <v>0</v>
      </c>
      <c r="G110" s="146">
        <v>70</v>
      </c>
      <c r="H110" s="145">
        <f t="shared" si="5"/>
        <v>0</v>
      </c>
    </row>
    <row r="111" spans="2:8" ht="12.75">
      <c r="B111" s="759" t="s">
        <v>523</v>
      </c>
      <c r="C111" s="146" t="s">
        <v>522</v>
      </c>
      <c r="D111" s="146">
        <v>0.259</v>
      </c>
      <c r="E111" s="146">
        <f>ТО!$E$44</f>
        <v>0</v>
      </c>
      <c r="F111" s="146">
        <f t="shared" si="4"/>
        <v>0</v>
      </c>
      <c r="G111" s="146">
        <v>25</v>
      </c>
      <c r="H111" s="145">
        <f t="shared" si="5"/>
        <v>0</v>
      </c>
    </row>
    <row r="112" spans="2:8" ht="12.75">
      <c r="B112" s="759" t="s">
        <v>524</v>
      </c>
      <c r="C112" s="146" t="s">
        <v>75</v>
      </c>
      <c r="D112" s="146">
        <v>0.0003</v>
      </c>
      <c r="E112" s="146">
        <f>ТО!$E$44</f>
        <v>0</v>
      </c>
      <c r="F112" s="146">
        <f t="shared" si="4"/>
        <v>0</v>
      </c>
      <c r="G112" s="146">
        <v>4000</v>
      </c>
      <c r="H112" s="145">
        <f t="shared" si="5"/>
        <v>0</v>
      </c>
    </row>
    <row r="113" spans="2:8" ht="12.75">
      <c r="B113" s="759" t="s">
        <v>525</v>
      </c>
      <c r="C113" s="146" t="s">
        <v>522</v>
      </c>
      <c r="D113" s="146">
        <v>0.001</v>
      </c>
      <c r="E113" s="146">
        <f>ТО!$E$44</f>
        <v>0</v>
      </c>
      <c r="F113" s="146">
        <f t="shared" si="4"/>
        <v>0</v>
      </c>
      <c r="G113" s="146">
        <v>21</v>
      </c>
      <c r="H113" s="145">
        <f t="shared" si="5"/>
        <v>0</v>
      </c>
    </row>
    <row r="114" spans="2:8" ht="12.75">
      <c r="B114" s="759" t="s">
        <v>526</v>
      </c>
      <c r="C114" s="146" t="s">
        <v>522</v>
      </c>
      <c r="D114" s="146">
        <v>0.528</v>
      </c>
      <c r="E114" s="146">
        <f>ТО!$E$44</f>
        <v>0</v>
      </c>
      <c r="F114" s="146">
        <f t="shared" si="4"/>
        <v>0</v>
      </c>
      <c r="G114" s="146">
        <v>40</v>
      </c>
      <c r="H114" s="145">
        <f t="shared" si="5"/>
        <v>0</v>
      </c>
    </row>
    <row r="115" spans="1:8" ht="12.75">
      <c r="A115" s="146"/>
      <c r="B115" s="148" t="s">
        <v>138</v>
      </c>
      <c r="C115" s="146"/>
      <c r="D115" s="146"/>
      <c r="E115" s="146"/>
      <c r="F115" s="146"/>
      <c r="G115" s="146"/>
      <c r="H115" s="149">
        <f>SUM(H109:H114)</f>
        <v>0</v>
      </c>
    </row>
  </sheetData>
  <sheetProtection/>
  <mergeCells count="23">
    <mergeCell ref="A4:G4"/>
    <mergeCell ref="A70:H70"/>
    <mergeCell ref="A55:H55"/>
    <mergeCell ref="G14:K14"/>
    <mergeCell ref="F38:G38"/>
    <mergeCell ref="J38:J39"/>
    <mergeCell ref="A37:J37"/>
    <mergeCell ref="A30:H30"/>
    <mergeCell ref="A29:H29"/>
    <mergeCell ref="A13:K13"/>
    <mergeCell ref="F14:F15"/>
    <mergeCell ref="E14:E15"/>
    <mergeCell ref="A14:A15"/>
    <mergeCell ref="B14:B15"/>
    <mergeCell ref="C14:C15"/>
    <mergeCell ref="D14:D15"/>
    <mergeCell ref="I38:I39"/>
    <mergeCell ref="B38:B39"/>
    <mergeCell ref="A75:H75"/>
    <mergeCell ref="C38:C39"/>
    <mergeCell ref="A38:A39"/>
    <mergeCell ref="H38:H39"/>
    <mergeCell ref="D38:E38"/>
  </mergeCells>
  <printOptions/>
  <pageMargins left="0.23" right="0.25" top="0.39" bottom="0.25" header="0.4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6.25390625" style="0" customWidth="1"/>
    <col min="2" max="2" width="11.75390625" style="0" customWidth="1"/>
    <col min="3" max="3" width="10.875" style="0" customWidth="1"/>
    <col min="5" max="5" width="13.625" style="0" customWidth="1"/>
    <col min="6" max="6" width="12.00390625" style="0" customWidth="1"/>
  </cols>
  <sheetData>
    <row r="1" spans="1:5" ht="17.25" customHeight="1">
      <c r="A1" s="557" t="s">
        <v>359</v>
      </c>
      <c r="B1" s="227"/>
      <c r="C1" s="104"/>
      <c r="D1" s="57"/>
      <c r="E1" s="57"/>
    </row>
    <row r="2" spans="1:5" ht="27" customHeight="1">
      <c r="A2" s="394" t="s">
        <v>305</v>
      </c>
      <c r="B2" s="227"/>
      <c r="C2" s="104"/>
      <c r="D2" s="57"/>
      <c r="E2" s="57"/>
    </row>
    <row r="3" spans="1:6" ht="12" customHeight="1">
      <c r="A3" s="1074" t="s">
        <v>120</v>
      </c>
      <c r="B3" s="1075"/>
      <c r="C3" s="1075"/>
      <c r="D3" s="1075"/>
      <c r="E3" s="1075"/>
      <c r="F3" s="1076"/>
    </row>
    <row r="4" spans="1:3" ht="15.75" customHeight="1">
      <c r="A4" s="53" t="s">
        <v>360</v>
      </c>
      <c r="B4" s="53"/>
      <c r="C4" s="53"/>
    </row>
    <row r="5" spans="1:6" ht="35.25" customHeight="1">
      <c r="A5" s="105" t="s">
        <v>315</v>
      </c>
      <c r="B5" s="48" t="s">
        <v>361</v>
      </c>
      <c r="C5" s="48" t="s">
        <v>316</v>
      </c>
      <c r="D5" s="48" t="s">
        <v>332</v>
      </c>
      <c r="E5" s="47" t="s">
        <v>358</v>
      </c>
      <c r="F5" s="48" t="s">
        <v>331</v>
      </c>
    </row>
    <row r="6" spans="1:6" ht="12" customHeight="1">
      <c r="A6" s="99" t="s">
        <v>326</v>
      </c>
      <c r="B6" s="4">
        <v>1</v>
      </c>
      <c r="C6" s="1">
        <v>12</v>
      </c>
      <c r="D6" s="1">
        <v>1</v>
      </c>
      <c r="E6" s="1">
        <v>200</v>
      </c>
      <c r="F6" s="231">
        <v>100</v>
      </c>
    </row>
    <row r="7" spans="1:6" ht="12" customHeight="1">
      <c r="A7" s="1" t="s">
        <v>320</v>
      </c>
      <c r="B7" s="4" t="s">
        <v>364</v>
      </c>
      <c r="C7" s="1">
        <v>2</v>
      </c>
      <c r="D7" s="1">
        <v>6</v>
      </c>
      <c r="E7" s="1">
        <v>30</v>
      </c>
      <c r="F7" s="231">
        <v>90</v>
      </c>
    </row>
    <row r="8" spans="1:6" ht="12" customHeight="1">
      <c r="A8" s="99" t="s">
        <v>372</v>
      </c>
      <c r="B8" s="4" t="s">
        <v>370</v>
      </c>
      <c r="C8" s="1">
        <v>12</v>
      </c>
      <c r="D8" s="1">
        <v>1</v>
      </c>
      <c r="E8" s="1">
        <v>270</v>
      </c>
      <c r="F8" s="231">
        <v>200</v>
      </c>
    </row>
    <row r="9" spans="1:6" ht="12" customHeight="1">
      <c r="A9" s="99" t="s">
        <v>373</v>
      </c>
      <c r="B9" s="4" t="s">
        <v>374</v>
      </c>
      <c r="C9" s="1">
        <v>6</v>
      </c>
      <c r="D9" s="1">
        <v>1</v>
      </c>
      <c r="E9" s="1">
        <v>80</v>
      </c>
      <c r="F9" s="231">
        <v>60</v>
      </c>
    </row>
    <row r="10" spans="1:6" ht="12" customHeight="1">
      <c r="A10" s="100" t="s">
        <v>113</v>
      </c>
      <c r="B10" s="100"/>
      <c r="C10" s="62"/>
      <c r="D10" s="1"/>
      <c r="E10" s="62"/>
      <c r="F10" s="259">
        <f>SUM(F6:F9)</f>
        <v>450</v>
      </c>
    </row>
    <row r="11" spans="1:2" ht="12.75">
      <c r="A11" s="53" t="s">
        <v>322</v>
      </c>
      <c r="B11" s="53"/>
    </row>
    <row r="12" spans="1:6" ht="12.75">
      <c r="A12" s="99" t="s">
        <v>323</v>
      </c>
      <c r="B12" s="99"/>
      <c r="C12" s="1">
        <v>3</v>
      </c>
      <c r="D12" s="1">
        <v>12</v>
      </c>
      <c r="E12" s="1">
        <v>10</v>
      </c>
      <c r="F12" s="231">
        <v>96</v>
      </c>
    </row>
    <row r="13" spans="1:6" ht="12.75">
      <c r="A13" s="99" t="s">
        <v>324</v>
      </c>
      <c r="B13" s="99"/>
      <c r="C13" s="1">
        <v>12</v>
      </c>
      <c r="D13" s="1">
        <v>1</v>
      </c>
      <c r="E13" s="1">
        <v>250</v>
      </c>
      <c r="F13" s="231">
        <v>150</v>
      </c>
    </row>
    <row r="14" spans="1:6" ht="12.75">
      <c r="A14" s="106" t="s">
        <v>113</v>
      </c>
      <c r="B14" s="106"/>
      <c r="C14" s="62"/>
      <c r="D14" s="1"/>
      <c r="E14" s="62"/>
      <c r="F14" s="260">
        <f>SUM(F12:F13)</f>
        <v>246</v>
      </c>
    </row>
    <row r="15" spans="1:6" ht="12.75">
      <c r="A15" s="228"/>
      <c r="B15" s="226"/>
      <c r="C15" s="58"/>
      <c r="D15" s="50"/>
      <c r="E15" s="58"/>
      <c r="F15" s="261">
        <f>F10+F14</f>
        <v>696</v>
      </c>
    </row>
    <row r="16" spans="1:6" s="235" customFormat="1" ht="12" customHeight="1">
      <c r="A16" s="115" t="s">
        <v>131</v>
      </c>
      <c r="B16" s="256"/>
      <c r="C16" s="257"/>
      <c r="D16" s="258"/>
      <c r="E16" s="257"/>
      <c r="F16" s="259">
        <f>F15*МОП!I15</f>
        <v>0</v>
      </c>
    </row>
    <row r="17" spans="1:6" s="235" customFormat="1" ht="13.5" customHeight="1">
      <c r="A17" s="1087" t="s">
        <v>148</v>
      </c>
      <c r="B17" s="1088"/>
      <c r="C17" s="1088"/>
      <c r="D17" s="1088"/>
      <c r="E17" s="1088"/>
      <c r="F17" s="1089"/>
    </row>
    <row r="18" spans="1:3" ht="12.75" customHeight="1">
      <c r="A18" s="53" t="s">
        <v>325</v>
      </c>
      <c r="B18" s="53"/>
      <c r="C18" s="53"/>
    </row>
    <row r="19" spans="1:6" ht="35.25" customHeight="1">
      <c r="A19" s="105" t="s">
        <v>315</v>
      </c>
      <c r="B19" s="105"/>
      <c r="C19" s="48" t="s">
        <v>316</v>
      </c>
      <c r="D19" s="48" t="s">
        <v>332</v>
      </c>
      <c r="E19" s="47" t="s">
        <v>358</v>
      </c>
      <c r="F19" s="48" t="s">
        <v>331</v>
      </c>
    </row>
    <row r="20" spans="1:6" ht="12" customHeight="1">
      <c r="A20" s="99" t="s">
        <v>326</v>
      </c>
      <c r="B20" s="4">
        <v>1</v>
      </c>
      <c r="C20" s="1">
        <v>12</v>
      </c>
      <c r="D20" s="1">
        <v>1</v>
      </c>
      <c r="E20" s="1">
        <v>200</v>
      </c>
      <c r="F20" s="231">
        <f>D20*E20*МОП!$I$26</f>
        <v>84.42410115251204</v>
      </c>
    </row>
    <row r="21" spans="1:6" ht="12" customHeight="1">
      <c r="A21" s="99" t="s">
        <v>362</v>
      </c>
      <c r="B21" s="4">
        <v>1</v>
      </c>
      <c r="C21" s="1">
        <v>12</v>
      </c>
      <c r="D21" s="1">
        <v>1</v>
      </c>
      <c r="E21" s="1">
        <v>120</v>
      </c>
      <c r="F21" s="231">
        <f>D21*E21*МОП!$I$26</f>
        <v>50.65446069150722</v>
      </c>
    </row>
    <row r="22" spans="1:6" ht="12" customHeight="1">
      <c r="A22" s="1" t="s">
        <v>320</v>
      </c>
      <c r="B22" s="4" t="s">
        <v>364</v>
      </c>
      <c r="C22" s="1">
        <v>2</v>
      </c>
      <c r="D22" s="1">
        <v>6</v>
      </c>
      <c r="E22" s="1">
        <v>30</v>
      </c>
      <c r="F22" s="231">
        <f>D22*E22*МОП!$I$26</f>
        <v>75.98169103726083</v>
      </c>
    </row>
    <row r="23" spans="1:6" ht="12" customHeight="1">
      <c r="A23" s="99" t="s">
        <v>321</v>
      </c>
      <c r="B23" s="4" t="s">
        <v>366</v>
      </c>
      <c r="C23" s="1">
        <v>24</v>
      </c>
      <c r="D23" s="1">
        <v>0.5</v>
      </c>
      <c r="E23" s="1">
        <v>700</v>
      </c>
      <c r="F23" s="231">
        <f>D23*E23*МОП!$I$26</f>
        <v>147.74217701689605</v>
      </c>
    </row>
    <row r="24" spans="1:6" ht="12" customHeight="1">
      <c r="A24" s="99" t="s">
        <v>327</v>
      </c>
      <c r="B24" s="4" t="s">
        <v>371</v>
      </c>
      <c r="C24" s="1">
        <v>30</v>
      </c>
      <c r="D24" s="1">
        <f>12/30</f>
        <v>0.4</v>
      </c>
      <c r="E24" s="1">
        <v>700</v>
      </c>
      <c r="F24" s="231">
        <f>D24*E24*МОП!$I$26</f>
        <v>118.19374161351685</v>
      </c>
    </row>
    <row r="25" spans="1:6" ht="12" customHeight="1">
      <c r="A25" s="99" t="s">
        <v>328</v>
      </c>
      <c r="B25" s="4">
        <v>1</v>
      </c>
      <c r="C25" s="1">
        <v>12</v>
      </c>
      <c r="D25" s="1">
        <v>1</v>
      </c>
      <c r="E25" s="1">
        <v>160</v>
      </c>
      <c r="F25" s="231">
        <f>D25*E25*МОП!$I$26</f>
        <v>67.53928092200962</v>
      </c>
    </row>
    <row r="26" spans="1:6" ht="12" customHeight="1">
      <c r="A26" s="100" t="s">
        <v>113</v>
      </c>
      <c r="B26" s="100"/>
      <c r="C26" s="62"/>
      <c r="D26" s="1"/>
      <c r="E26" s="62"/>
      <c r="F26" s="246">
        <f>SUM(F20:F25)</f>
        <v>544.5354524337026</v>
      </c>
    </row>
    <row r="27" spans="1:2" ht="12.75">
      <c r="A27" s="53" t="s">
        <v>322</v>
      </c>
      <c r="B27" s="53"/>
    </row>
    <row r="28" spans="1:6" ht="12.75">
      <c r="A28" s="99" t="s">
        <v>323</v>
      </c>
      <c r="B28" s="99"/>
      <c r="C28" s="1">
        <v>3</v>
      </c>
      <c r="D28" s="1">
        <v>12</v>
      </c>
      <c r="E28" s="1">
        <v>10</v>
      </c>
      <c r="F28" s="231">
        <f>D28*E28*МОП!$I$26</f>
        <v>50.65446069150722</v>
      </c>
    </row>
    <row r="29" spans="1:6" ht="12.75">
      <c r="A29" s="99" t="s">
        <v>324</v>
      </c>
      <c r="B29" s="99"/>
      <c r="C29" s="1">
        <v>12</v>
      </c>
      <c r="D29" s="1">
        <v>1</v>
      </c>
      <c r="E29" s="1">
        <v>250</v>
      </c>
      <c r="F29" s="231">
        <f>D29*E29*МОП!$I$26</f>
        <v>105.53012644064005</v>
      </c>
    </row>
    <row r="30" spans="1:6" ht="12.75">
      <c r="A30" s="106" t="s">
        <v>113</v>
      </c>
      <c r="B30" s="106"/>
      <c r="C30" s="62"/>
      <c r="D30" s="1"/>
      <c r="E30" s="62"/>
      <c r="F30" s="247">
        <f>SUM(F28:F29)</f>
        <v>156.18458713214727</v>
      </c>
    </row>
    <row r="31" spans="1:6" ht="12.75">
      <c r="A31" s="249" t="s">
        <v>289</v>
      </c>
      <c r="B31" s="250"/>
      <c r="C31" s="251"/>
      <c r="D31" s="252"/>
      <c r="E31" s="251"/>
      <c r="F31" s="248">
        <f>F26+F30</f>
        <v>700.7200395658499</v>
      </c>
    </row>
    <row r="32" spans="1:6" s="235" customFormat="1" ht="12" customHeight="1">
      <c r="A32" s="233" t="s">
        <v>121</v>
      </c>
      <c r="B32" s="233"/>
      <c r="C32" s="62"/>
      <c r="D32" s="234"/>
      <c r="E32" s="62"/>
      <c r="F32" s="229">
        <f>F31*МОП!I16</f>
        <v>40.75298680184924</v>
      </c>
    </row>
    <row r="33" spans="1:6" s="235" customFormat="1" ht="12" customHeight="1">
      <c r="A33" s="233" t="s">
        <v>161</v>
      </c>
      <c r="B33" s="233"/>
      <c r="C33" s="62"/>
      <c r="D33" s="234"/>
      <c r="E33" s="62"/>
      <c r="F33" s="229">
        <f>F31*МОП!I19</f>
        <v>15.51154086502098</v>
      </c>
    </row>
    <row r="34" spans="1:6" s="235" customFormat="1" ht="12" customHeight="1">
      <c r="A34" s="233" t="s">
        <v>122</v>
      </c>
      <c r="B34" s="233"/>
      <c r="C34" s="62"/>
      <c r="D34" s="234"/>
      <c r="E34" s="62"/>
      <c r="F34" s="229">
        <f>F31*(МОП!I22+МОП!I23)</f>
        <v>0</v>
      </c>
    </row>
    <row r="35" spans="1:6" s="235" customFormat="1" ht="12" customHeight="1">
      <c r="A35" s="233" t="s">
        <v>123</v>
      </c>
      <c r="B35" s="233"/>
      <c r="C35" s="62"/>
      <c r="D35" s="234"/>
      <c r="E35" s="62"/>
      <c r="F35" s="229">
        <f>$F$31*МОП!I24</f>
        <v>100.1949399554157</v>
      </c>
    </row>
    <row r="36" spans="1:6" s="235" customFormat="1" ht="12" customHeight="1">
      <c r="A36" s="253" t="s">
        <v>124</v>
      </c>
      <c r="B36" s="253"/>
      <c r="C36" s="254"/>
      <c r="D36" s="255"/>
      <c r="E36" s="254"/>
      <c r="F36" s="229">
        <f>$F$31*МОП!I25</f>
        <v>139.3288298772118</v>
      </c>
    </row>
    <row r="37" spans="1:6" ht="12.75">
      <c r="A37" s="523" t="s">
        <v>289</v>
      </c>
      <c r="B37" s="524"/>
      <c r="C37" s="525"/>
      <c r="D37" s="525"/>
      <c r="E37" s="526"/>
      <c r="F37" s="527">
        <f>SUM(F32:F36)</f>
        <v>295.78829749949773</v>
      </c>
    </row>
    <row r="38" spans="1:6" ht="12.75">
      <c r="A38" s="519"/>
      <c r="B38" s="520"/>
      <c r="C38" s="521"/>
      <c r="D38" s="521"/>
      <c r="E38" s="521"/>
      <c r="F38" s="522"/>
    </row>
    <row r="39" spans="1:6" s="236" customFormat="1" ht="12" customHeight="1">
      <c r="A39" s="1091" t="s">
        <v>125</v>
      </c>
      <c r="B39" s="1091"/>
      <c r="C39" s="1091"/>
      <c r="D39" s="1091"/>
      <c r="E39" s="1091"/>
      <c r="F39" s="1091"/>
    </row>
    <row r="40" spans="1:6" s="236" customFormat="1" ht="12" customHeight="1">
      <c r="A40" s="237" t="s">
        <v>240</v>
      </c>
      <c r="B40" s="237"/>
      <c r="C40" s="238"/>
      <c r="D40" s="238"/>
      <c r="E40" s="238"/>
      <c r="F40" s="239">
        <f>$F$67*ТО!I11</f>
        <v>0</v>
      </c>
    </row>
    <row r="41" spans="1:6" s="236" customFormat="1" ht="12" customHeight="1">
      <c r="A41" s="237" t="s">
        <v>241</v>
      </c>
      <c r="B41" s="237"/>
      <c r="C41" s="238"/>
      <c r="D41" s="238"/>
      <c r="E41" s="238"/>
      <c r="F41" s="239">
        <f>$F$67*ТО!I12</f>
        <v>358.8238210694864</v>
      </c>
    </row>
    <row r="42" spans="1:6" s="236" customFormat="1" ht="12" customHeight="1">
      <c r="A42" s="237" t="s">
        <v>242</v>
      </c>
      <c r="B42" s="237"/>
      <c r="C42" s="238"/>
      <c r="D42" s="238"/>
      <c r="E42" s="238"/>
      <c r="F42" s="239">
        <f>$F$67*ТО!I22</f>
        <v>1.6375629405840888</v>
      </c>
    </row>
    <row r="43" spans="1:6" s="236" customFormat="1" ht="12" customHeight="1">
      <c r="A43" s="237" t="s">
        <v>243</v>
      </c>
      <c r="B43" s="237"/>
      <c r="C43" s="238"/>
      <c r="D43" s="238"/>
      <c r="E43" s="238"/>
      <c r="F43" s="239">
        <f>$F$67*ТО!I23</f>
        <v>9.910815709969789</v>
      </c>
    </row>
    <row r="44" spans="1:6" s="236" customFormat="1" ht="12" customHeight="1">
      <c r="A44" s="512" t="s">
        <v>249</v>
      </c>
      <c r="B44" s="512"/>
      <c r="C44" s="513"/>
      <c r="D44" s="513"/>
      <c r="E44" s="513"/>
      <c r="F44" s="514">
        <f>$F$67*ТО!I27</f>
        <v>11.316983887210473</v>
      </c>
    </row>
    <row r="45" spans="1:6" s="236" customFormat="1" ht="12" customHeight="1">
      <c r="A45" s="515"/>
      <c r="B45" s="516"/>
      <c r="C45" s="517"/>
      <c r="D45" s="517"/>
      <c r="E45" s="517"/>
      <c r="F45" s="518"/>
    </row>
    <row r="46" spans="1:6" s="236" customFormat="1" ht="12" customHeight="1">
      <c r="A46" s="1092" t="s">
        <v>126</v>
      </c>
      <c r="B46" s="1092"/>
      <c r="C46" s="1092"/>
      <c r="D46" s="1092"/>
      <c r="E46" s="1092"/>
      <c r="F46" s="1092"/>
    </row>
    <row r="47" spans="1:6" s="236" customFormat="1" ht="12" customHeight="1">
      <c r="A47" s="237" t="s">
        <v>244</v>
      </c>
      <c r="B47" s="237"/>
      <c r="C47" s="238"/>
      <c r="D47" s="238"/>
      <c r="E47" s="238"/>
      <c r="F47" s="239">
        <f>$F$67*ТО!I29</f>
        <v>29.760926485397782</v>
      </c>
    </row>
    <row r="48" spans="1:6" s="236" customFormat="1" ht="12" customHeight="1">
      <c r="A48" s="528" t="s">
        <v>109</v>
      </c>
      <c r="B48" s="237"/>
      <c r="C48" s="238"/>
      <c r="D48" s="238"/>
      <c r="E48" s="238"/>
      <c r="F48" s="239">
        <f>$F$67*ТО!I30</f>
        <v>0</v>
      </c>
    </row>
    <row r="49" spans="1:6" s="236" customFormat="1" ht="12" customHeight="1">
      <c r="A49" s="528" t="s">
        <v>110</v>
      </c>
      <c r="B49" s="237"/>
      <c r="C49" s="238"/>
      <c r="D49" s="238"/>
      <c r="E49" s="238"/>
      <c r="F49" s="239">
        <f>$F$67*ТО!I31</f>
        <v>21.786706948640482</v>
      </c>
    </row>
    <row r="50" spans="1:6" s="236" customFormat="1" ht="12" customHeight="1">
      <c r="A50" s="1090" t="s">
        <v>133</v>
      </c>
      <c r="B50" s="237"/>
      <c r="C50" s="238"/>
      <c r="D50" s="238"/>
      <c r="E50" s="238"/>
      <c r="F50" s="239">
        <f>$F$67*ТО!I32</f>
        <v>2.2783484390735147</v>
      </c>
    </row>
    <row r="51" spans="1:6" s="236" customFormat="1" ht="12" customHeight="1">
      <c r="A51" s="1090"/>
      <c r="B51" s="237"/>
      <c r="C51" s="238"/>
      <c r="D51" s="238"/>
      <c r="E51" s="238"/>
      <c r="F51" s="239">
        <f>$F$67*ТО!I33</f>
        <v>5.695871097683788</v>
      </c>
    </row>
    <row r="52" spans="1:6" s="236" customFormat="1" ht="12" customHeight="1">
      <c r="A52" s="508"/>
      <c r="B52" s="509"/>
      <c r="C52" s="510"/>
      <c r="D52" s="510"/>
      <c r="E52" s="510"/>
      <c r="F52" s="511"/>
    </row>
    <row r="53" spans="1:2" ht="12.75">
      <c r="A53" s="53" t="s">
        <v>314</v>
      </c>
      <c r="B53" s="53"/>
    </row>
    <row r="54" spans="1:6" ht="25.5">
      <c r="A54" s="96" t="s">
        <v>315</v>
      </c>
      <c r="B54" s="96"/>
      <c r="C54" s="49" t="s">
        <v>316</v>
      </c>
      <c r="D54" s="48" t="s">
        <v>332</v>
      </c>
      <c r="E54" s="94" t="s">
        <v>317</v>
      </c>
      <c r="F54" s="94" t="s">
        <v>318</v>
      </c>
    </row>
    <row r="55" spans="1:6" ht="12.75">
      <c r="A55" s="97" t="s">
        <v>365</v>
      </c>
      <c r="B55" s="241">
        <v>1</v>
      </c>
      <c r="C55" s="1">
        <v>12</v>
      </c>
      <c r="D55" s="230">
        <f>12/C55</f>
        <v>1</v>
      </c>
      <c r="E55" s="1">
        <v>250</v>
      </c>
      <c r="F55" s="231">
        <f>D55*E55</f>
        <v>250</v>
      </c>
    </row>
    <row r="56" spans="1:6" ht="12.75">
      <c r="A56" s="97" t="s">
        <v>319</v>
      </c>
      <c r="B56" s="241" t="s">
        <v>363</v>
      </c>
      <c r="C56" s="1">
        <v>18</v>
      </c>
      <c r="D56" s="230">
        <f aca="true" t="shared" si="0" ref="D56:D61">12/C56</f>
        <v>0.6666666666666666</v>
      </c>
      <c r="E56" s="1">
        <v>500</v>
      </c>
      <c r="F56" s="231">
        <f aca="true" t="shared" si="1" ref="F56:F61">D56*E56</f>
        <v>333.3333333333333</v>
      </c>
    </row>
    <row r="57" spans="1:6" ht="12.75">
      <c r="A57" s="95" t="s">
        <v>320</v>
      </c>
      <c r="B57" s="242" t="s">
        <v>369</v>
      </c>
      <c r="C57" s="1">
        <v>3</v>
      </c>
      <c r="D57" s="230">
        <f t="shared" si="0"/>
        <v>4</v>
      </c>
      <c r="E57" s="1">
        <v>30</v>
      </c>
      <c r="F57" s="231">
        <f t="shared" si="1"/>
        <v>120</v>
      </c>
    </row>
    <row r="58" spans="1:6" ht="12.75">
      <c r="A58" s="97" t="s">
        <v>368</v>
      </c>
      <c r="B58" s="241" t="s">
        <v>370</v>
      </c>
      <c r="C58" s="1">
        <v>12</v>
      </c>
      <c r="D58" s="230">
        <f>12/C58</f>
        <v>1</v>
      </c>
      <c r="E58" s="1">
        <v>500</v>
      </c>
      <c r="F58" s="231">
        <f>D58*E58</f>
        <v>500</v>
      </c>
    </row>
    <row r="59" spans="1:6" ht="12.75">
      <c r="A59" s="97" t="s">
        <v>321</v>
      </c>
      <c r="B59" s="241" t="s">
        <v>366</v>
      </c>
      <c r="C59" s="1">
        <v>24</v>
      </c>
      <c r="D59" s="230">
        <f t="shared" si="0"/>
        <v>0.5</v>
      </c>
      <c r="E59" s="1">
        <v>700</v>
      </c>
      <c r="F59" s="231">
        <f t="shared" si="1"/>
        <v>350</v>
      </c>
    </row>
    <row r="60" spans="1:6" ht="12.75">
      <c r="A60" s="97" t="s">
        <v>367</v>
      </c>
      <c r="B60" s="241">
        <v>24</v>
      </c>
      <c r="C60" s="1">
        <v>24</v>
      </c>
      <c r="D60" s="230">
        <f t="shared" si="0"/>
        <v>0.5</v>
      </c>
      <c r="E60" s="1">
        <v>500</v>
      </c>
      <c r="F60" s="231">
        <f t="shared" si="1"/>
        <v>250</v>
      </c>
    </row>
    <row r="61" spans="1:6" ht="12.75">
      <c r="A61" s="240" t="s">
        <v>327</v>
      </c>
      <c r="B61" s="35">
        <v>30</v>
      </c>
      <c r="C61" s="56">
        <v>30</v>
      </c>
      <c r="D61" s="243">
        <f t="shared" si="0"/>
        <v>0.4</v>
      </c>
      <c r="E61" s="56">
        <v>700</v>
      </c>
      <c r="F61" s="244">
        <f t="shared" si="1"/>
        <v>280</v>
      </c>
    </row>
    <row r="62" spans="1:6" ht="12.75">
      <c r="A62" s="98" t="s">
        <v>113</v>
      </c>
      <c r="B62" s="98"/>
      <c r="C62" s="62"/>
      <c r="D62" s="230"/>
      <c r="E62" s="62"/>
      <c r="F62" s="232">
        <f>SUM(F55:F61)</f>
        <v>2083.333333333333</v>
      </c>
    </row>
    <row r="63" spans="1:2" ht="12.75">
      <c r="A63" s="53" t="s">
        <v>322</v>
      </c>
      <c r="B63" s="53"/>
    </row>
    <row r="64" spans="1:6" ht="12.75">
      <c r="A64" s="99" t="s">
        <v>323</v>
      </c>
      <c r="B64" s="99"/>
      <c r="C64" s="1">
        <v>3</v>
      </c>
      <c r="D64" s="1">
        <v>12</v>
      </c>
      <c r="E64" s="1">
        <v>10</v>
      </c>
      <c r="F64" s="1">
        <f>+E64*11</f>
        <v>110</v>
      </c>
    </row>
    <row r="65" spans="1:6" ht="12.75">
      <c r="A65" s="99" t="s">
        <v>324</v>
      </c>
      <c r="B65" s="99"/>
      <c r="C65" s="1">
        <v>12</v>
      </c>
      <c r="D65" s="1">
        <v>1</v>
      </c>
      <c r="E65" s="1">
        <v>250</v>
      </c>
      <c r="F65" s="231">
        <f>+E65/C65</f>
        <v>20.833333333333332</v>
      </c>
    </row>
    <row r="66" spans="1:6" ht="12.75">
      <c r="A66" s="98" t="s">
        <v>113</v>
      </c>
      <c r="B66" s="98"/>
      <c r="C66" s="62"/>
      <c r="D66" s="1"/>
      <c r="E66" s="62"/>
      <c r="F66" s="245">
        <f>SUM(F64:F65)</f>
        <v>130.83333333333334</v>
      </c>
    </row>
    <row r="67" spans="1:6" s="507" customFormat="1" ht="12.75">
      <c r="A67" s="504" t="s">
        <v>289</v>
      </c>
      <c r="B67" s="505"/>
      <c r="C67" s="505"/>
      <c r="D67" s="505"/>
      <c r="E67" s="505"/>
      <c r="F67" s="506">
        <f>F62+F65</f>
        <v>2104.1666666666665</v>
      </c>
    </row>
    <row r="69" ht="12.75">
      <c r="A69" s="395" t="s">
        <v>32</v>
      </c>
    </row>
    <row r="70" spans="1:6" ht="12.75">
      <c r="A70" s="529" t="s">
        <v>128</v>
      </c>
      <c r="B70" s="530"/>
      <c r="C70" s="530"/>
      <c r="D70" s="530"/>
      <c r="E70" s="530"/>
      <c r="F70" s="531">
        <f>SUM(F71:F74)</f>
        <v>33.47814670694866</v>
      </c>
    </row>
    <row r="71" spans="1:6" ht="12.75">
      <c r="A71" s="532" t="s">
        <v>37</v>
      </c>
      <c r="B71" s="1"/>
      <c r="C71" s="1"/>
      <c r="D71" s="1"/>
      <c r="E71" s="1"/>
      <c r="F71" s="231">
        <f>$F$15*МОП!I33</f>
        <v>33.47814670694866</v>
      </c>
    </row>
    <row r="72" spans="1:6" ht="38.25">
      <c r="A72" s="532" t="s">
        <v>275</v>
      </c>
      <c r="B72" s="1"/>
      <c r="C72" s="1"/>
      <c r="D72" s="1"/>
      <c r="E72" s="1"/>
      <c r="F72" s="231">
        <f>$F$15*МОП!I34</f>
        <v>0</v>
      </c>
    </row>
    <row r="73" spans="1:6" ht="25.5">
      <c r="A73" s="532" t="s">
        <v>34</v>
      </c>
      <c r="B73" s="1"/>
      <c r="C73" s="1"/>
      <c r="D73" s="1"/>
      <c r="E73" s="1"/>
      <c r="F73" s="231">
        <f>$F$15*МОП!I35</f>
        <v>0</v>
      </c>
    </row>
    <row r="74" spans="1:6" ht="25.5">
      <c r="A74" s="532" t="s">
        <v>276</v>
      </c>
      <c r="B74" s="1"/>
      <c r="C74" s="1"/>
      <c r="D74" s="1"/>
      <c r="E74" s="1"/>
      <c r="F74" s="231">
        <f>$F$15*МОП!I36</f>
        <v>0</v>
      </c>
    </row>
    <row r="75" spans="1:6" ht="12.75">
      <c r="A75" s="533" t="s">
        <v>148</v>
      </c>
      <c r="B75" s="534"/>
      <c r="C75" s="534"/>
      <c r="D75" s="534"/>
      <c r="E75" s="534"/>
      <c r="F75" s="535">
        <f>SUM(F76:F78)</f>
        <v>23.580548914949755</v>
      </c>
    </row>
    <row r="76" spans="1:6" ht="12.75">
      <c r="A76" s="536" t="s">
        <v>277</v>
      </c>
      <c r="B76" s="1"/>
      <c r="C76" s="1"/>
      <c r="D76" s="1"/>
      <c r="E76" s="1"/>
      <c r="F76" s="231">
        <f>$F$31*Затраты!B56</f>
        <v>0</v>
      </c>
    </row>
    <row r="77" spans="1:6" ht="12.75">
      <c r="A77" s="536" t="s">
        <v>278</v>
      </c>
      <c r="B77" s="1"/>
      <c r="C77" s="1"/>
      <c r="D77" s="1"/>
      <c r="E77" s="1"/>
      <c r="F77" s="231">
        <f>$F$31*Затраты!B57</f>
        <v>0</v>
      </c>
    </row>
    <row r="78" spans="1:6" ht="25.5">
      <c r="A78" s="536" t="s">
        <v>279</v>
      </c>
      <c r="B78" s="1"/>
      <c r="C78" s="1"/>
      <c r="D78" s="1"/>
      <c r="E78" s="1"/>
      <c r="F78" s="231">
        <f>$F$31*Затраты!B58</f>
        <v>23.580548914949755</v>
      </c>
    </row>
    <row r="79" spans="1:6" ht="12.75">
      <c r="A79" s="440" t="s">
        <v>281</v>
      </c>
      <c r="B79" s="537"/>
      <c r="C79" s="537"/>
      <c r="D79" s="537"/>
      <c r="E79" s="537"/>
      <c r="F79" s="837">
        <f>SUM(F80:F81)</f>
        <v>10.842654288351799</v>
      </c>
    </row>
    <row r="80" spans="1:6" ht="63.75">
      <c r="A80" s="536" t="s">
        <v>282</v>
      </c>
      <c r="B80" s="1"/>
      <c r="C80" s="1"/>
      <c r="D80" s="1"/>
      <c r="E80" s="1"/>
      <c r="F80" s="1">
        <f>$F$67*ТО!I39</f>
        <v>0</v>
      </c>
    </row>
    <row r="81" spans="1:6" ht="12.75">
      <c r="A81" s="63" t="s">
        <v>487</v>
      </c>
      <c r="B81" s="1"/>
      <c r="C81" s="1"/>
      <c r="D81" s="1"/>
      <c r="E81" s="1"/>
      <c r="F81" s="230">
        <f>$F$67*ТО!I40</f>
        <v>10.842654288351799</v>
      </c>
    </row>
    <row r="82" spans="1:6" ht="12.75">
      <c r="A82" s="539" t="s">
        <v>283</v>
      </c>
      <c r="B82" s="538"/>
      <c r="C82" s="538"/>
      <c r="D82" s="538"/>
      <c r="E82" s="538"/>
      <c r="F82" s="540"/>
    </row>
    <row r="83" spans="1:6" ht="12.75">
      <c r="A83" s="536" t="s">
        <v>284</v>
      </c>
      <c r="B83" s="1"/>
      <c r="C83" s="1"/>
      <c r="D83" s="1"/>
      <c r="E83" s="1"/>
      <c r="F83" s="1"/>
    </row>
    <row r="84" spans="1:6" ht="25.5">
      <c r="A84" s="536" t="s">
        <v>285</v>
      </c>
      <c r="B84" s="1"/>
      <c r="C84" s="1"/>
      <c r="D84" s="1"/>
      <c r="E84" s="1"/>
      <c r="F84" s="1"/>
    </row>
  </sheetData>
  <sheetProtection/>
  <mergeCells count="5">
    <mergeCell ref="A50:A51"/>
    <mergeCell ref="A39:F39"/>
    <mergeCell ref="A46:F46"/>
    <mergeCell ref="A3:F3"/>
    <mergeCell ref="A17:F17"/>
  </mergeCells>
  <printOptions/>
  <pageMargins left="0.75" right="0.27" top="0.37" bottom="0.59" header="0.17" footer="0.5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0.875" style="63" customWidth="1"/>
    <col min="2" max="2" width="8.625" style="63" customWidth="1"/>
    <col min="3" max="3" width="9.25390625" style="63" customWidth="1"/>
    <col min="4" max="4" width="8.625" style="63" customWidth="1"/>
    <col min="5" max="5" width="6.75390625" style="63" customWidth="1"/>
    <col min="6" max="6" width="6.25390625" style="63" customWidth="1"/>
    <col min="7" max="7" width="4.75390625" style="63" customWidth="1"/>
    <col min="8" max="8" width="7.00390625" style="63" customWidth="1"/>
    <col min="9" max="9" width="6.875" style="63" customWidth="1"/>
    <col min="10" max="10" width="7.375" style="63" customWidth="1"/>
    <col min="11" max="11" width="6.75390625" style="63" customWidth="1"/>
    <col min="12" max="16384" width="9.125" style="63" customWidth="1"/>
  </cols>
  <sheetData>
    <row r="1" spans="1:11" ht="39" customHeight="1">
      <c r="A1" s="1093" t="s">
        <v>410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</row>
    <row r="2" ht="17.25" customHeight="1">
      <c r="A2" s="68" t="s">
        <v>376</v>
      </c>
    </row>
    <row r="3" spans="1:3" s="805" customFormat="1" ht="12.75">
      <c r="A3" s="722" t="s">
        <v>262</v>
      </c>
      <c r="C3" s="806">
        <f>'Данные для расчета'!B5</f>
        <v>3458</v>
      </c>
    </row>
    <row r="4" spans="1:11" ht="12.75" customHeight="1">
      <c r="A4" s="1037" t="s">
        <v>302</v>
      </c>
      <c r="B4" s="1041" t="s">
        <v>267</v>
      </c>
      <c r="C4" s="1043"/>
      <c r="D4" s="1081" t="s">
        <v>473</v>
      </c>
      <c r="E4" s="1039" t="s">
        <v>352</v>
      </c>
      <c r="F4" s="1050" t="s">
        <v>263</v>
      </c>
      <c r="G4" s="1051"/>
      <c r="H4" s="1051"/>
      <c r="I4" s="1051"/>
      <c r="J4" s="1052"/>
      <c r="K4" s="194" t="s">
        <v>266</v>
      </c>
    </row>
    <row r="5" spans="1:11" ht="63.75">
      <c r="A5" s="1038"/>
      <c r="B5" s="175" t="s">
        <v>345</v>
      </c>
      <c r="C5" s="175" t="s">
        <v>375</v>
      </c>
      <c r="D5" s="1081"/>
      <c r="E5" s="1040"/>
      <c r="F5" s="110" t="s">
        <v>301</v>
      </c>
      <c r="G5" s="110" t="s">
        <v>135</v>
      </c>
      <c r="H5" s="110" t="s">
        <v>136</v>
      </c>
      <c r="I5" s="108" t="s">
        <v>264</v>
      </c>
      <c r="J5" s="66" t="s">
        <v>265</v>
      </c>
      <c r="K5" s="195"/>
    </row>
    <row r="6" spans="1:11" ht="12.75">
      <c r="A6" s="274" t="s">
        <v>416</v>
      </c>
      <c r="B6" s="263">
        <f>'Приложение №1'!B31</f>
        <v>973.7</v>
      </c>
      <c r="C6" s="263">
        <f>'Данные для расчета'!B3</f>
        <v>1986</v>
      </c>
      <c r="D6" s="273">
        <f>1/25000</f>
        <v>4E-05</v>
      </c>
      <c r="E6" s="264">
        <v>10</v>
      </c>
      <c r="F6" s="265">
        <v>2.49</v>
      </c>
      <c r="G6" s="265">
        <f>'Данные для расчета'!B22</f>
        <v>0</v>
      </c>
      <c r="H6" s="265">
        <v>1.6</v>
      </c>
      <c r="I6" s="264">
        <f>$C$3*F6*G6*H6</f>
        <v>0</v>
      </c>
      <c r="J6" s="266">
        <f>I6*12*D6*B6</f>
        <v>0</v>
      </c>
      <c r="K6" s="266">
        <f>J6*'Данные для расчета'!B11</f>
        <v>0</v>
      </c>
    </row>
    <row r="7" spans="1:11" ht="12" customHeight="1">
      <c r="A7" s="274"/>
      <c r="B7" s="263"/>
      <c r="C7" s="263"/>
      <c r="D7" s="276"/>
      <c r="E7" s="264">
        <v>1</v>
      </c>
      <c r="F7" s="265">
        <v>1</v>
      </c>
      <c r="G7" s="265">
        <v>1.4</v>
      </c>
      <c r="H7" s="265">
        <v>1.6</v>
      </c>
      <c r="I7" s="264">
        <f>$C$3*F7*G7*H7</f>
        <v>7745.92</v>
      </c>
      <c r="J7" s="266">
        <f>I7*12*D7</f>
        <v>0</v>
      </c>
      <c r="K7" s="266">
        <f>J7*0.264</f>
        <v>0</v>
      </c>
    </row>
    <row r="8" spans="1:11" ht="12.75">
      <c r="A8" s="273" t="s">
        <v>289</v>
      </c>
      <c r="B8" s="274"/>
      <c r="C8" s="274"/>
      <c r="D8" s="276">
        <f>SUM(D6:D7)</f>
        <v>4E-05</v>
      </c>
      <c r="E8" s="274"/>
      <c r="F8" s="274"/>
      <c r="G8" s="274"/>
      <c r="H8" s="274"/>
      <c r="I8" s="274"/>
      <c r="J8" s="276">
        <f>SUM(J6:J7)</f>
        <v>0</v>
      </c>
      <c r="K8" s="276">
        <f>SUM(K6:K7)</f>
        <v>0</v>
      </c>
    </row>
    <row r="9" ht="6" customHeight="1"/>
    <row r="10" spans="1:14" ht="12.75" customHeight="1">
      <c r="A10" s="68" t="s">
        <v>66</v>
      </c>
      <c r="L10" s="279"/>
      <c r="M10" s="279"/>
      <c r="N10" s="279"/>
    </row>
    <row r="11" spans="1:5" ht="25.5">
      <c r="A11" s="170" t="s">
        <v>315</v>
      </c>
      <c r="B11" s="170" t="s">
        <v>347</v>
      </c>
      <c r="C11" s="170" t="s">
        <v>377</v>
      </c>
      <c r="D11" s="170" t="s">
        <v>378</v>
      </c>
      <c r="E11" s="170" t="s">
        <v>379</v>
      </c>
    </row>
    <row r="12" spans="1:5" ht="12.75">
      <c r="A12" s="267" t="s">
        <v>63</v>
      </c>
      <c r="B12" s="277" t="s">
        <v>116</v>
      </c>
      <c r="C12" s="268">
        <v>12</v>
      </c>
      <c r="D12" s="269">
        <v>5</v>
      </c>
      <c r="E12" s="274">
        <f aca="true" t="shared" si="0" ref="E12:E40">C12*D12</f>
        <v>60</v>
      </c>
    </row>
    <row r="13" spans="1:5" ht="12.75">
      <c r="A13" s="146" t="s">
        <v>380</v>
      </c>
      <c r="B13" s="152" t="s">
        <v>116</v>
      </c>
      <c r="C13" s="270">
        <v>12</v>
      </c>
      <c r="D13" s="271">
        <v>2</v>
      </c>
      <c r="E13" s="274">
        <f t="shared" si="0"/>
        <v>24</v>
      </c>
    </row>
    <row r="14" spans="1:5" ht="12.75">
      <c r="A14" s="146" t="s">
        <v>381</v>
      </c>
      <c r="B14" s="152" t="s">
        <v>116</v>
      </c>
      <c r="C14" s="270">
        <v>6</v>
      </c>
      <c r="D14" s="271">
        <v>15</v>
      </c>
      <c r="E14" s="274">
        <f t="shared" si="0"/>
        <v>90</v>
      </c>
    </row>
    <row r="15" spans="1:5" ht="12.75">
      <c r="A15" s="146" t="s">
        <v>382</v>
      </c>
      <c r="B15" s="152" t="s">
        <v>116</v>
      </c>
      <c r="C15" s="270">
        <v>12</v>
      </c>
      <c r="D15" s="271">
        <v>5</v>
      </c>
      <c r="E15" s="274">
        <f t="shared" si="0"/>
        <v>60</v>
      </c>
    </row>
    <row r="16" spans="1:5" ht="12.75">
      <c r="A16" s="146" t="s">
        <v>383</v>
      </c>
      <c r="B16" s="152" t="s">
        <v>116</v>
      </c>
      <c r="C16" s="270">
        <v>2</v>
      </c>
      <c r="D16" s="271">
        <v>20</v>
      </c>
      <c r="E16" s="274">
        <f t="shared" si="0"/>
        <v>40</v>
      </c>
    </row>
    <row r="17" spans="1:5" ht="12.75">
      <c r="A17" s="146" t="s">
        <v>384</v>
      </c>
      <c r="B17" s="152" t="s">
        <v>116</v>
      </c>
      <c r="C17" s="270">
        <v>1</v>
      </c>
      <c r="D17" s="271">
        <v>5</v>
      </c>
      <c r="E17" s="274">
        <f t="shared" si="0"/>
        <v>5</v>
      </c>
    </row>
    <row r="18" spans="1:5" ht="12.75">
      <c r="A18" s="146" t="s">
        <v>385</v>
      </c>
      <c r="B18" s="152" t="s">
        <v>386</v>
      </c>
      <c r="C18" s="270">
        <v>4</v>
      </c>
      <c r="D18" s="271">
        <v>20</v>
      </c>
      <c r="E18" s="274">
        <f t="shared" si="0"/>
        <v>80</v>
      </c>
    </row>
    <row r="19" spans="1:5" ht="12.75">
      <c r="A19" s="146" t="s">
        <v>387</v>
      </c>
      <c r="B19" s="152" t="s">
        <v>116</v>
      </c>
      <c r="C19" s="270">
        <v>1</v>
      </c>
      <c r="D19" s="271">
        <v>45</v>
      </c>
      <c r="E19" s="274">
        <f t="shared" si="0"/>
        <v>45</v>
      </c>
    </row>
    <row r="20" spans="1:5" ht="12.75">
      <c r="A20" s="146" t="s">
        <v>388</v>
      </c>
      <c r="B20" s="152" t="s">
        <v>116</v>
      </c>
      <c r="C20" s="270">
        <v>6</v>
      </c>
      <c r="D20" s="271">
        <v>10</v>
      </c>
      <c r="E20" s="274">
        <f t="shared" si="0"/>
        <v>60</v>
      </c>
    </row>
    <row r="21" spans="1:5" ht="12.75">
      <c r="A21" s="146" t="s">
        <v>389</v>
      </c>
      <c r="B21" s="152" t="s">
        <v>116</v>
      </c>
      <c r="C21" s="270">
        <v>2</v>
      </c>
      <c r="D21" s="271">
        <v>40</v>
      </c>
      <c r="E21" s="274">
        <f t="shared" si="0"/>
        <v>80</v>
      </c>
    </row>
    <row r="22" spans="1:5" ht="12.75">
      <c r="A22" s="146" t="s">
        <v>390</v>
      </c>
      <c r="B22" s="152"/>
      <c r="C22" s="270">
        <v>1</v>
      </c>
      <c r="D22" s="271">
        <v>56</v>
      </c>
      <c r="E22" s="274">
        <f t="shared" si="0"/>
        <v>56</v>
      </c>
    </row>
    <row r="23" spans="1:5" ht="12.75">
      <c r="A23" s="146" t="s">
        <v>391</v>
      </c>
      <c r="B23" s="152" t="s">
        <v>116</v>
      </c>
      <c r="C23" s="270">
        <v>1</v>
      </c>
      <c r="D23" s="271">
        <v>75</v>
      </c>
      <c r="E23" s="274">
        <f t="shared" si="0"/>
        <v>75</v>
      </c>
    </row>
    <row r="24" spans="1:5" ht="12.75">
      <c r="A24" s="146" t="s">
        <v>38</v>
      </c>
      <c r="B24" s="152" t="s">
        <v>116</v>
      </c>
      <c r="C24" s="270">
        <v>2</v>
      </c>
      <c r="D24" s="271">
        <v>19</v>
      </c>
      <c r="E24" s="274">
        <f t="shared" si="0"/>
        <v>38</v>
      </c>
    </row>
    <row r="25" spans="1:5" ht="12.75">
      <c r="A25" s="146" t="s">
        <v>39</v>
      </c>
      <c r="B25" s="152" t="s">
        <v>116</v>
      </c>
      <c r="C25" s="270">
        <v>1</v>
      </c>
      <c r="D25" s="271">
        <v>153</v>
      </c>
      <c r="E25" s="274">
        <f t="shared" si="0"/>
        <v>153</v>
      </c>
    </row>
    <row r="26" spans="1:5" ht="12.75">
      <c r="A26" s="146" t="s">
        <v>40</v>
      </c>
      <c r="B26" s="152" t="s">
        <v>116</v>
      </c>
      <c r="C26" s="270">
        <v>1</v>
      </c>
      <c r="D26" s="271">
        <v>90</v>
      </c>
      <c r="E26" s="274">
        <f t="shared" si="0"/>
        <v>90</v>
      </c>
    </row>
    <row r="27" spans="1:5" ht="12.75">
      <c r="A27" s="146" t="s">
        <v>41</v>
      </c>
      <c r="B27" s="152" t="s">
        <v>116</v>
      </c>
      <c r="C27" s="270">
        <v>1</v>
      </c>
      <c r="D27" s="271">
        <v>80</v>
      </c>
      <c r="E27" s="274">
        <f t="shared" si="0"/>
        <v>80</v>
      </c>
    </row>
    <row r="28" spans="1:5" ht="12.75">
      <c r="A28" s="146" t="s">
        <v>42</v>
      </c>
      <c r="B28" s="152" t="s">
        <v>116</v>
      </c>
      <c r="C28" s="270">
        <v>1</v>
      </c>
      <c r="D28" s="271">
        <v>42</v>
      </c>
      <c r="E28" s="274">
        <f t="shared" si="0"/>
        <v>42</v>
      </c>
    </row>
    <row r="29" spans="1:5" ht="12.75">
      <c r="A29" s="146" t="s">
        <v>43</v>
      </c>
      <c r="B29" s="152" t="s">
        <v>116</v>
      </c>
      <c r="C29" s="270">
        <v>1</v>
      </c>
      <c r="D29" s="271">
        <v>43</v>
      </c>
      <c r="E29" s="274">
        <f t="shared" si="0"/>
        <v>43</v>
      </c>
    </row>
    <row r="30" spans="1:5" ht="12.75">
      <c r="A30" s="146" t="s">
        <v>44</v>
      </c>
      <c r="B30" s="152" t="s">
        <v>116</v>
      </c>
      <c r="C30" s="270">
        <v>1</v>
      </c>
      <c r="D30" s="271">
        <v>26</v>
      </c>
      <c r="E30" s="274">
        <f t="shared" si="0"/>
        <v>26</v>
      </c>
    </row>
    <row r="31" spans="1:5" ht="12.75">
      <c r="A31" s="146" t="s">
        <v>45</v>
      </c>
      <c r="B31" s="152" t="s">
        <v>116</v>
      </c>
      <c r="C31" s="270">
        <v>1</v>
      </c>
      <c r="D31" s="271">
        <v>25</v>
      </c>
      <c r="E31" s="274">
        <f t="shared" si="0"/>
        <v>25</v>
      </c>
    </row>
    <row r="32" spans="1:5" ht="12.75">
      <c r="A32" s="146" t="s">
        <v>46</v>
      </c>
      <c r="B32" s="152" t="s">
        <v>116</v>
      </c>
      <c r="C32" s="270">
        <v>1</v>
      </c>
      <c r="D32" s="271">
        <v>65</v>
      </c>
      <c r="E32" s="274">
        <f t="shared" si="0"/>
        <v>65</v>
      </c>
    </row>
    <row r="33" spans="1:5" ht="12.75">
      <c r="A33" s="146" t="s">
        <v>47</v>
      </c>
      <c r="B33" s="152" t="s">
        <v>116</v>
      </c>
      <c r="C33" s="270">
        <v>1</v>
      </c>
      <c r="D33" s="271">
        <v>65</v>
      </c>
      <c r="E33" s="274">
        <f t="shared" si="0"/>
        <v>65</v>
      </c>
    </row>
    <row r="34" spans="1:5" ht="12.75">
      <c r="A34" s="146" t="s">
        <v>48</v>
      </c>
      <c r="B34" s="152" t="s">
        <v>116</v>
      </c>
      <c r="C34" s="270">
        <v>12</v>
      </c>
      <c r="D34" s="271">
        <v>1</v>
      </c>
      <c r="E34" s="274">
        <f t="shared" si="0"/>
        <v>12</v>
      </c>
    </row>
    <row r="35" spans="1:5" ht="12.75">
      <c r="A35" s="146" t="s">
        <v>49</v>
      </c>
      <c r="B35" s="152" t="s">
        <v>116</v>
      </c>
      <c r="C35" s="270">
        <v>1</v>
      </c>
      <c r="D35" s="271">
        <v>6.5</v>
      </c>
      <c r="E35" s="274">
        <f t="shared" si="0"/>
        <v>6.5</v>
      </c>
    </row>
    <row r="36" spans="1:5" ht="12.75">
      <c r="A36" s="146" t="s">
        <v>50</v>
      </c>
      <c r="B36" s="152" t="s">
        <v>116</v>
      </c>
      <c r="C36" s="270">
        <v>1</v>
      </c>
      <c r="D36" s="271">
        <v>24.5</v>
      </c>
      <c r="E36" s="274">
        <f t="shared" si="0"/>
        <v>24.5</v>
      </c>
    </row>
    <row r="37" spans="1:5" ht="12.75">
      <c r="A37" s="146" t="s">
        <v>51</v>
      </c>
      <c r="B37" s="152" t="s">
        <v>116</v>
      </c>
      <c r="C37" s="270">
        <v>1</v>
      </c>
      <c r="D37" s="271">
        <v>68</v>
      </c>
      <c r="E37" s="274">
        <f t="shared" si="0"/>
        <v>68</v>
      </c>
    </row>
    <row r="38" spans="1:5" ht="12.75">
      <c r="A38" s="146" t="s">
        <v>52</v>
      </c>
      <c r="B38" s="152" t="s">
        <v>116</v>
      </c>
      <c r="C38" s="270">
        <v>12</v>
      </c>
      <c r="D38" s="271">
        <v>15</v>
      </c>
      <c r="E38" s="274">
        <f t="shared" si="0"/>
        <v>180</v>
      </c>
    </row>
    <row r="39" spans="1:5" ht="12.75">
      <c r="A39" s="146" t="s">
        <v>53</v>
      </c>
      <c r="B39" s="152" t="s">
        <v>116</v>
      </c>
      <c r="C39" s="270">
        <v>1</v>
      </c>
      <c r="D39" s="271">
        <v>66</v>
      </c>
      <c r="E39" s="274">
        <f t="shared" si="0"/>
        <v>66</v>
      </c>
    </row>
    <row r="40" spans="1:5" ht="12.75">
      <c r="A40" s="146" t="s">
        <v>54</v>
      </c>
      <c r="B40" s="152" t="s">
        <v>116</v>
      </c>
      <c r="C40" s="270">
        <v>1</v>
      </c>
      <c r="D40" s="271">
        <v>63</v>
      </c>
      <c r="E40" s="274">
        <f t="shared" si="0"/>
        <v>63</v>
      </c>
    </row>
    <row r="41" spans="1:5" ht="12.75">
      <c r="A41" s="273" t="s">
        <v>55</v>
      </c>
      <c r="B41" s="278"/>
      <c r="C41" s="273"/>
      <c r="D41" s="273"/>
      <c r="E41" s="273">
        <f>SUM(E12:E40)</f>
        <v>1722</v>
      </c>
    </row>
    <row r="42" spans="1:5" ht="12.75">
      <c r="A42" s="174" t="s">
        <v>67</v>
      </c>
      <c r="B42" s="174"/>
      <c r="C42" s="174"/>
      <c r="D42" s="174"/>
      <c r="E42" s="174"/>
    </row>
    <row r="43" spans="1:5" s="67" customFormat="1" ht="25.5">
      <c r="A43" s="170" t="s">
        <v>315</v>
      </c>
      <c r="B43" s="170" t="s">
        <v>347</v>
      </c>
      <c r="C43" s="170" t="s">
        <v>56</v>
      </c>
      <c r="D43" s="170" t="s">
        <v>58</v>
      </c>
      <c r="E43" s="170" t="s">
        <v>57</v>
      </c>
    </row>
    <row r="44" spans="1:5" ht="12.75">
      <c r="A44" s="274" t="s">
        <v>59</v>
      </c>
      <c r="B44" s="152" t="s">
        <v>64</v>
      </c>
      <c r="C44" s="274">
        <v>0.1</v>
      </c>
      <c r="D44" s="274">
        <v>418.36</v>
      </c>
      <c r="E44" s="275">
        <f>C44*D44*12</f>
        <v>502.03200000000004</v>
      </c>
    </row>
    <row r="45" spans="1:5" ht="12.75">
      <c r="A45" s="274" t="s">
        <v>60</v>
      </c>
      <c r="B45" s="152" t="s">
        <v>64</v>
      </c>
      <c r="C45" s="274">
        <v>10</v>
      </c>
      <c r="D45" s="274">
        <v>3.26</v>
      </c>
      <c r="E45" s="275">
        <f>C45*D45*12</f>
        <v>391.19999999999993</v>
      </c>
    </row>
    <row r="46" spans="1:5" ht="12.75">
      <c r="A46" s="274" t="s">
        <v>61</v>
      </c>
      <c r="B46" s="152" t="s">
        <v>64</v>
      </c>
      <c r="C46" s="274">
        <v>10</v>
      </c>
      <c r="D46" s="274">
        <v>4.19</v>
      </c>
      <c r="E46" s="275">
        <f>C46*D46*12</f>
        <v>502.80000000000007</v>
      </c>
    </row>
    <row r="47" spans="1:5" ht="12.75">
      <c r="A47" s="274" t="s">
        <v>311</v>
      </c>
      <c r="B47" s="152" t="s">
        <v>65</v>
      </c>
      <c r="C47" s="274">
        <v>1786.4</v>
      </c>
      <c r="D47" s="272">
        <f>0.52/1.18</f>
        <v>0.44067796610169496</v>
      </c>
      <c r="E47" s="275">
        <f>C47*D47*12</f>
        <v>9446.725423728814</v>
      </c>
    </row>
    <row r="48" spans="1:5" ht="12.75">
      <c r="A48" s="274" t="s">
        <v>62</v>
      </c>
      <c r="B48" s="152" t="s">
        <v>329</v>
      </c>
      <c r="C48" s="274">
        <v>1</v>
      </c>
      <c r="D48" s="272">
        <v>552</v>
      </c>
      <c r="E48" s="275">
        <f>C48*D48*12</f>
        <v>6624</v>
      </c>
    </row>
    <row r="49" spans="1:5" ht="12.75">
      <c r="A49" s="273" t="s">
        <v>55</v>
      </c>
      <c r="B49" s="274"/>
      <c r="C49" s="273"/>
      <c r="D49" s="273"/>
      <c r="E49" s="276">
        <f>SUM(E44:E48)</f>
        <v>17466.757423728814</v>
      </c>
    </row>
    <row r="50" ht="6" customHeight="1"/>
    <row r="52" s="117" customFormat="1" ht="12.75"/>
  </sheetData>
  <sheetProtection/>
  <mergeCells count="6">
    <mergeCell ref="A1:K1"/>
    <mergeCell ref="A4:A5"/>
    <mergeCell ref="F4:J4"/>
    <mergeCell ref="D4:D5"/>
    <mergeCell ref="B4:C4"/>
    <mergeCell ref="E4:E5"/>
  </mergeCells>
  <printOptions/>
  <pageMargins left="0.75" right="0.32" top="0.25" bottom="0.19" header="0.17" footer="0.1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A3" sqref="A3:B30"/>
    </sheetView>
  </sheetViews>
  <sheetFormatPr defaultColWidth="9.00390625" defaultRowHeight="12.75"/>
  <cols>
    <col min="1" max="1" width="6.375" style="0" customWidth="1"/>
    <col min="2" max="2" width="53.875" style="905" customWidth="1"/>
    <col min="3" max="3" width="11.625" style="35" customWidth="1"/>
    <col min="4" max="4" width="11.625" style="0" customWidth="1"/>
  </cols>
  <sheetData>
    <row r="1" spans="1:4" ht="37.5" customHeight="1">
      <c r="A1" s="1095" t="s">
        <v>541</v>
      </c>
      <c r="B1" s="1095"/>
      <c r="C1" s="1095"/>
      <c r="D1" s="1095"/>
    </row>
    <row r="2" spans="1:4" s="893" customFormat="1" ht="16.5" customHeight="1">
      <c r="A2" s="891" t="s">
        <v>542</v>
      </c>
      <c r="B2" s="891" t="s">
        <v>543</v>
      </c>
      <c r="C2" s="892" t="s">
        <v>347</v>
      </c>
      <c r="D2" s="891" t="s">
        <v>56</v>
      </c>
    </row>
    <row r="3" spans="1:4" s="979" customFormat="1" ht="17.25" customHeight="1">
      <c r="A3" s="975"/>
      <c r="B3" s="976" t="s">
        <v>544</v>
      </c>
      <c r="C3" s="977" t="s">
        <v>116</v>
      </c>
      <c r="D3" s="978">
        <f>'Приложение №1'!B35</f>
        <v>2</v>
      </c>
    </row>
    <row r="4" spans="1:4" s="979" customFormat="1" ht="17.25" customHeight="1">
      <c r="A4" s="980"/>
      <c r="B4" s="981" t="s">
        <v>545</v>
      </c>
      <c r="C4" s="982" t="s">
        <v>116</v>
      </c>
      <c r="D4" s="983">
        <f>D3*'Приложение №1'!B18</f>
        <v>4</v>
      </c>
    </row>
    <row r="5" spans="1:4" s="979" customFormat="1" ht="30" customHeight="1">
      <c r="A5" s="980"/>
      <c r="B5" s="981" t="s">
        <v>581</v>
      </c>
      <c r="C5" s="982"/>
      <c r="D5" s="983">
        <f>D3+D4</f>
        <v>6</v>
      </c>
    </row>
    <row r="6" spans="1:4" s="979" customFormat="1" ht="31.5" customHeight="1">
      <c r="A6" s="980"/>
      <c r="B6" s="981" t="s">
        <v>585</v>
      </c>
      <c r="C6" s="982"/>
      <c r="D6" s="983"/>
    </row>
    <row r="7" spans="1:5" s="979" customFormat="1" ht="14.25" customHeight="1">
      <c r="A7" s="980"/>
      <c r="B7" s="984" t="s">
        <v>591</v>
      </c>
      <c r="C7" s="982" t="s">
        <v>550</v>
      </c>
      <c r="D7" s="983">
        <v>8</v>
      </c>
      <c r="E7" s="979">
        <v>5</v>
      </c>
    </row>
    <row r="8" spans="1:5" s="979" customFormat="1" ht="14.25" customHeight="1">
      <c r="A8" s="980"/>
      <c r="B8" s="984" t="s">
        <v>592</v>
      </c>
      <c r="C8" s="982" t="s">
        <v>550</v>
      </c>
      <c r="D8" s="983">
        <v>13</v>
      </c>
      <c r="E8" s="979">
        <v>7</v>
      </c>
    </row>
    <row r="9" spans="1:5" s="979" customFormat="1" ht="14.25" customHeight="1">
      <c r="A9" s="980"/>
      <c r="B9" s="984" t="s">
        <v>593</v>
      </c>
      <c r="C9" s="982" t="s">
        <v>550</v>
      </c>
      <c r="D9" s="985">
        <f>(D7*E7+D8*E8)/E9</f>
        <v>10.916666666666666</v>
      </c>
      <c r="E9" s="979">
        <v>12</v>
      </c>
    </row>
    <row r="10" spans="1:4" s="979" customFormat="1" ht="27.75" customHeight="1">
      <c r="A10" s="980"/>
      <c r="B10" s="981" t="s">
        <v>586</v>
      </c>
      <c r="C10" s="982" t="s">
        <v>550</v>
      </c>
      <c r="D10" s="985">
        <f>D9*365</f>
        <v>3984.583333333333</v>
      </c>
    </row>
    <row r="11" spans="1:4" s="979" customFormat="1" ht="26.25" customHeight="1">
      <c r="A11" s="980"/>
      <c r="B11" s="981" t="s">
        <v>584</v>
      </c>
      <c r="C11" s="982" t="s">
        <v>550</v>
      </c>
      <c r="D11" s="985">
        <f>D10*D5</f>
        <v>23907.5</v>
      </c>
    </row>
    <row r="12" spans="1:4" s="972" customFormat="1" ht="17.25" customHeight="1">
      <c r="A12" s="968"/>
      <c r="B12" s="969" t="s">
        <v>546</v>
      </c>
      <c r="C12" s="970" t="s">
        <v>547</v>
      </c>
      <c r="D12" s="971">
        <f>'Приложение №1'!B38</f>
        <v>0</v>
      </c>
    </row>
    <row r="13" spans="1:4" s="972" customFormat="1" ht="17.25" customHeight="1">
      <c r="A13" s="968"/>
      <c r="B13" s="969" t="s">
        <v>548</v>
      </c>
      <c r="C13" s="970" t="s">
        <v>547</v>
      </c>
      <c r="D13" s="993">
        <v>40</v>
      </c>
    </row>
    <row r="14" spans="1:4" s="972" customFormat="1" ht="17.25" customHeight="1">
      <c r="A14" s="968"/>
      <c r="B14" s="969" t="s">
        <v>549</v>
      </c>
      <c r="C14" s="970" t="s">
        <v>116</v>
      </c>
      <c r="D14" s="994">
        <f>D12/D13</f>
        <v>0</v>
      </c>
    </row>
    <row r="15" spans="1:4" s="972" customFormat="1" ht="25.5">
      <c r="A15" s="968"/>
      <c r="B15" s="969" t="s">
        <v>588</v>
      </c>
      <c r="C15" s="970" t="s">
        <v>550</v>
      </c>
      <c r="D15" s="971">
        <v>1.5</v>
      </c>
    </row>
    <row r="16" spans="2:5" s="972" customFormat="1" ht="12.75">
      <c r="B16" s="969" t="s">
        <v>587</v>
      </c>
      <c r="C16" s="970" t="s">
        <v>550</v>
      </c>
      <c r="D16" s="968">
        <f>D15*365</f>
        <v>547.5</v>
      </c>
      <c r="E16" s="968"/>
    </row>
    <row r="17" spans="2:5" s="972" customFormat="1" ht="15.75" customHeight="1">
      <c r="B17" s="969" t="s">
        <v>583</v>
      </c>
      <c r="C17" s="970" t="s">
        <v>550</v>
      </c>
      <c r="D17" s="968">
        <f>D16*D14</f>
        <v>0</v>
      </c>
      <c r="E17" s="968"/>
    </row>
    <row r="18" spans="2:5" s="236" customFormat="1" ht="12.75">
      <c r="B18" s="973" t="s">
        <v>582</v>
      </c>
      <c r="C18" s="974" t="s">
        <v>550</v>
      </c>
      <c r="D18" s="1007">
        <f>D11+D17</f>
        <v>23907.5</v>
      </c>
      <c r="E18" s="986"/>
    </row>
    <row r="19" spans="1:4" s="236" customFormat="1" ht="12.75">
      <c r="A19" s="986"/>
      <c r="B19" s="973" t="s">
        <v>551</v>
      </c>
      <c r="C19" s="990" t="s">
        <v>552</v>
      </c>
      <c r="D19" s="991">
        <v>60</v>
      </c>
    </row>
    <row r="20" spans="1:4" s="236" customFormat="1" ht="12.75">
      <c r="A20" s="986"/>
      <c r="B20" s="1094" t="s">
        <v>589</v>
      </c>
      <c r="C20" s="987" t="s">
        <v>553</v>
      </c>
      <c r="D20" s="988">
        <f>D18*D19</f>
        <v>1434450</v>
      </c>
    </row>
    <row r="21" spans="1:4" s="236" customFormat="1" ht="12.75">
      <c r="A21" s="986"/>
      <c r="B21" s="1094"/>
      <c r="C21" s="987" t="s">
        <v>554</v>
      </c>
      <c r="D21" s="989">
        <f>D20/1000</f>
        <v>1434.45</v>
      </c>
    </row>
    <row r="22" spans="1:4" s="236" customFormat="1" ht="12.75">
      <c r="A22" s="986"/>
      <c r="B22" s="973" t="s">
        <v>555</v>
      </c>
      <c r="C22" s="990" t="s">
        <v>556</v>
      </c>
      <c r="D22" s="1008">
        <v>0.62</v>
      </c>
    </row>
    <row r="23" spans="1:4" s="236" customFormat="1" ht="12.75">
      <c r="A23" s="964"/>
      <c r="B23" s="965" t="s">
        <v>597</v>
      </c>
      <c r="C23" s="966" t="s">
        <v>556</v>
      </c>
      <c r="D23" s="897">
        <f>D21*D22</f>
        <v>889.359</v>
      </c>
    </row>
    <row r="24" spans="1:4" ht="15.75">
      <c r="A24" s="1004" t="s">
        <v>596</v>
      </c>
      <c r="B24" s="1005"/>
      <c r="C24" s="1005"/>
      <c r="D24" s="1006"/>
    </row>
    <row r="25" spans="1:4" ht="12.75">
      <c r="A25" s="55"/>
      <c r="B25" s="894" t="s">
        <v>557</v>
      </c>
      <c r="C25" s="898" t="s">
        <v>550</v>
      </c>
      <c r="D25" s="52">
        <v>1000</v>
      </c>
    </row>
    <row r="26" spans="1:4" ht="27" customHeight="1">
      <c r="A26" s="52"/>
      <c r="B26" s="981" t="s">
        <v>584</v>
      </c>
      <c r="C26" s="899" t="s">
        <v>550</v>
      </c>
      <c r="D26" s="967">
        <f>D18</f>
        <v>23907.5</v>
      </c>
    </row>
    <row r="27" spans="1:4" ht="27.75" customHeight="1">
      <c r="A27" s="52"/>
      <c r="B27" s="895" t="s">
        <v>590</v>
      </c>
      <c r="C27" s="899" t="s">
        <v>116</v>
      </c>
      <c r="D27" s="896">
        <f>D26/D25</f>
        <v>23.9075</v>
      </c>
    </row>
    <row r="28" spans="1:4" ht="12.75">
      <c r="A28" s="52"/>
      <c r="B28" s="895" t="s">
        <v>558</v>
      </c>
      <c r="C28" s="899" t="s">
        <v>556</v>
      </c>
      <c r="D28" s="896">
        <v>15</v>
      </c>
    </row>
    <row r="29" spans="1:4" s="236" customFormat="1" ht="12.75">
      <c r="A29" s="900"/>
      <c r="B29" s="995" t="s">
        <v>595</v>
      </c>
      <c r="C29" s="996" t="s">
        <v>556</v>
      </c>
      <c r="D29" s="992">
        <f>D27*D28</f>
        <v>358.61249999999995</v>
      </c>
    </row>
    <row r="30" spans="1:4" ht="15">
      <c r="A30" s="901" t="s">
        <v>559</v>
      </c>
      <c r="B30" s="902"/>
      <c r="C30" s="903"/>
      <c r="D30" s="904">
        <f>D23+D29</f>
        <v>1247.9715</v>
      </c>
    </row>
  </sheetData>
  <sheetProtection/>
  <mergeCells count="2">
    <mergeCell ref="B20:B21"/>
    <mergeCell ref="A1:D1"/>
  </mergeCells>
  <printOptions gridLines="1"/>
  <pageMargins left="0.75" right="0.2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0.75390625" style="63" customWidth="1"/>
    <col min="2" max="7" width="6.25390625" style="63" customWidth="1"/>
    <col min="8" max="8" width="6.75390625" style="63" customWidth="1"/>
    <col min="9" max="9" width="6.75390625" style="235" customWidth="1"/>
    <col min="10" max="11" width="6.75390625" style="63" customWidth="1"/>
    <col min="12" max="13" width="9.00390625" style="63" customWidth="1"/>
    <col min="14" max="16384" width="9.125" style="63" customWidth="1"/>
  </cols>
  <sheetData>
    <row r="1" spans="1:11" ht="15.75">
      <c r="A1" s="1098" t="s">
        <v>437</v>
      </c>
      <c r="B1" s="1098"/>
      <c r="C1" s="1098"/>
      <c r="D1" s="1098"/>
      <c r="E1" s="548" t="str">
        <f>'Приложение №1'!B10</f>
        <v>Пушкина,19/1</v>
      </c>
      <c r="F1" s="632"/>
      <c r="G1" s="632"/>
      <c r="H1" s="632"/>
      <c r="J1" s="546"/>
      <c r="K1" s="465"/>
    </row>
    <row r="2" spans="1:11" ht="12" customHeight="1">
      <c r="A2" s="549" t="s">
        <v>313</v>
      </c>
      <c r="B2" s="551">
        <f>'Приложение №1'!B31</f>
        <v>973.7</v>
      </c>
      <c r="C2" s="547"/>
      <c r="D2" s="465"/>
      <c r="E2" s="547"/>
      <c r="F2" s="547"/>
      <c r="G2" s="547"/>
      <c r="H2" s="547"/>
      <c r="I2" s="548"/>
      <c r="J2" s="465"/>
      <c r="K2" s="465"/>
    </row>
    <row r="3" spans="1:11" ht="12" customHeight="1">
      <c r="A3" s="550" t="s">
        <v>312</v>
      </c>
      <c r="B3" s="552">
        <f>'Приложение №1'!B32</f>
        <v>610.6</v>
      </c>
      <c r="C3" s="547"/>
      <c r="D3" s="465"/>
      <c r="E3" s="547"/>
      <c r="F3" s="547"/>
      <c r="G3" s="547"/>
      <c r="H3" s="547"/>
      <c r="I3" s="548"/>
      <c r="J3" s="465"/>
      <c r="K3" s="465"/>
    </row>
    <row r="4" spans="1:11" ht="12" customHeight="1">
      <c r="A4" s="663" t="s">
        <v>449</v>
      </c>
      <c r="B4" s="664">
        <f>'Приложение №1'!B45</f>
        <v>61</v>
      </c>
      <c r="C4" s="547"/>
      <c r="D4" s="465"/>
      <c r="E4" s="547"/>
      <c r="F4" s="547"/>
      <c r="G4" s="547"/>
      <c r="H4" s="547"/>
      <c r="I4" s="548"/>
      <c r="J4" s="465"/>
      <c r="K4" s="465"/>
    </row>
    <row r="5" spans="1:11" ht="12" customHeight="1">
      <c r="A5" s="665" t="s">
        <v>443</v>
      </c>
      <c r="B5" s="666">
        <f>'Данные для расчета'!B12</f>
        <v>2.07</v>
      </c>
      <c r="C5" s="547"/>
      <c r="D5" s="465"/>
      <c r="E5" s="547"/>
      <c r="F5" s="547"/>
      <c r="G5" s="547"/>
      <c r="H5" s="547"/>
      <c r="I5" s="548"/>
      <c r="J5" s="465"/>
      <c r="K5" s="465"/>
    </row>
    <row r="6" spans="1:11" ht="12" customHeight="1">
      <c r="A6" s="665" t="s">
        <v>444</v>
      </c>
      <c r="B6" s="666">
        <f>'Данные для расчета'!B13</f>
        <v>172.11</v>
      </c>
      <c r="C6" s="547"/>
      <c r="D6" s="465"/>
      <c r="E6" s="547"/>
      <c r="F6" s="547"/>
      <c r="G6" s="547"/>
      <c r="H6" s="547"/>
      <c r="I6" s="548"/>
      <c r="J6" s="465"/>
      <c r="K6" s="465"/>
    </row>
    <row r="7" spans="1:11" ht="12" customHeight="1">
      <c r="A7" s="658" t="s">
        <v>450</v>
      </c>
      <c r="B7" s="659">
        <f>'Приложение №1'!B45</f>
        <v>61</v>
      </c>
      <c r="C7" s="547"/>
      <c r="D7" s="465"/>
      <c r="E7" s="547"/>
      <c r="F7" s="547"/>
      <c r="G7" s="547"/>
      <c r="H7" s="547"/>
      <c r="I7" s="548"/>
      <c r="J7" s="465"/>
      <c r="K7" s="465"/>
    </row>
    <row r="8" spans="1:11" ht="12" customHeight="1">
      <c r="A8" s="660" t="s">
        <v>445</v>
      </c>
      <c r="B8" s="661">
        <f>'Данные для расчета'!B14</f>
        <v>3.2</v>
      </c>
      <c r="C8" s="662">
        <f>(25-5)*365/1000</f>
        <v>7.3</v>
      </c>
      <c r="D8" s="465"/>
      <c r="E8" s="547"/>
      <c r="F8" s="547"/>
      <c r="G8" s="547"/>
      <c r="H8" s="547"/>
      <c r="I8" s="548"/>
      <c r="J8" s="465"/>
      <c r="K8" s="465"/>
    </row>
    <row r="9" spans="1:11" ht="12" customHeight="1">
      <c r="A9" s="660" t="s">
        <v>446</v>
      </c>
      <c r="B9" s="661">
        <f>'Данные для расчета'!B15</f>
        <v>163.67</v>
      </c>
      <c r="C9" s="547"/>
      <c r="D9" s="465"/>
      <c r="E9" s="547"/>
      <c r="F9" s="547"/>
      <c r="G9" s="547"/>
      <c r="H9" s="547"/>
      <c r="I9" s="548"/>
      <c r="J9" s="465"/>
      <c r="K9" s="465"/>
    </row>
    <row r="10" spans="1:11" ht="12" customHeight="1">
      <c r="A10" s="642" t="s">
        <v>447</v>
      </c>
      <c r="B10" s="643">
        <f>'Данные для расчета'!B16</f>
        <v>0.9</v>
      </c>
      <c r="C10" s="547"/>
      <c r="D10" s="465"/>
      <c r="E10" s="547"/>
      <c r="F10" s="547"/>
      <c r="G10" s="547"/>
      <c r="H10" s="547"/>
      <c r="I10" s="548"/>
      <c r="J10" s="465"/>
      <c r="K10" s="465"/>
    </row>
    <row r="11" spans="1:11" s="1002" customFormat="1" ht="12" customHeight="1">
      <c r="A11" s="997" t="s">
        <v>580</v>
      </c>
      <c r="B11" s="998">
        <v>750</v>
      </c>
      <c r="C11" s="999"/>
      <c r="D11" s="1000"/>
      <c r="E11" s="999"/>
      <c r="F11" s="999"/>
      <c r="G11" s="999"/>
      <c r="H11" s="999"/>
      <c r="I11" s="1001"/>
      <c r="J11" s="1000"/>
      <c r="K11" s="1000"/>
    </row>
    <row r="12" spans="1:11" ht="12" customHeight="1">
      <c r="A12" s="174"/>
      <c r="B12" s="641"/>
      <c r="C12" s="547"/>
      <c r="D12" s="465"/>
      <c r="E12" s="547"/>
      <c r="F12" s="547"/>
      <c r="G12" s="547"/>
      <c r="H12" s="547"/>
      <c r="I12" s="548"/>
      <c r="J12" s="465"/>
      <c r="K12" s="465"/>
    </row>
    <row r="13" spans="1:11" ht="12" customHeight="1">
      <c r="A13" s="728" t="s">
        <v>305</v>
      </c>
      <c r="B13" s="729"/>
      <c r="C13" s="729"/>
      <c r="D13" s="729"/>
      <c r="E13" s="729"/>
      <c r="F13" s="729"/>
      <c r="G13" s="729"/>
      <c r="H13" s="729"/>
      <c r="I13" s="730"/>
      <c r="J13" s="731"/>
      <c r="K13" s="732"/>
    </row>
    <row r="14" spans="1:11" s="117" customFormat="1" ht="12" customHeight="1">
      <c r="A14" s="688"/>
      <c r="B14" s="688" t="s">
        <v>15</v>
      </c>
      <c r="C14" s="690" t="s">
        <v>308</v>
      </c>
      <c r="D14" s="690" t="s">
        <v>266</v>
      </c>
      <c r="E14" s="1096" t="s">
        <v>309</v>
      </c>
      <c r="F14" s="1097"/>
      <c r="G14" s="690" t="s">
        <v>310</v>
      </c>
      <c r="H14" s="690" t="s">
        <v>330</v>
      </c>
      <c r="I14" s="727" t="s">
        <v>344</v>
      </c>
      <c r="J14" s="689" t="s">
        <v>261</v>
      </c>
      <c r="K14" s="689" t="s">
        <v>428</v>
      </c>
    </row>
    <row r="15" spans="1:11" s="64" customFormat="1" ht="12" customHeight="1">
      <c r="A15" s="450" t="s">
        <v>120</v>
      </c>
      <c r="B15" s="418">
        <f>SUM(B16:B16)</f>
        <v>0</v>
      </c>
      <c r="C15" s="419">
        <f>SUM(C16:C16)</f>
        <v>0</v>
      </c>
      <c r="D15" s="419">
        <f>SUM(D16:D16)</f>
        <v>0</v>
      </c>
      <c r="E15" s="419">
        <f>SUM(E16:E16)</f>
        <v>0</v>
      </c>
      <c r="F15" s="419"/>
      <c r="G15" s="419">
        <f>SUM(G16:G16)</f>
        <v>0</v>
      </c>
      <c r="H15" s="419">
        <f>SUM(H16:H16)</f>
        <v>0</v>
      </c>
      <c r="I15" s="419">
        <f>SUM(I16:I16)</f>
        <v>0</v>
      </c>
      <c r="J15" s="567">
        <f>SUM(J16:J16)</f>
        <v>0</v>
      </c>
      <c r="K15" s="420">
        <f>SUM(K16:K16)</f>
        <v>0</v>
      </c>
    </row>
    <row r="16" spans="1:11" s="64" customFormat="1" ht="12" customHeight="1">
      <c r="A16" s="421" t="s">
        <v>131</v>
      </c>
      <c r="B16" s="422">
        <f>МОП!I15</f>
        <v>0</v>
      </c>
      <c r="C16" s="353">
        <f>МОП!N15</f>
        <v>0</v>
      </c>
      <c r="D16" s="353">
        <f>МОП!O15</f>
        <v>0</v>
      </c>
      <c r="E16" s="353">
        <f>Мат!G11</f>
        <v>0</v>
      </c>
      <c r="F16" s="353"/>
      <c r="G16" s="353">
        <f>ОТ!F16</f>
        <v>0</v>
      </c>
      <c r="I16" s="354">
        <f>SUM(C16:H16)</f>
        <v>0</v>
      </c>
      <c r="J16" s="358">
        <f>I16/$B$2/12</f>
        <v>0</v>
      </c>
      <c r="K16" s="568">
        <f>I16/$B$3/12</f>
        <v>0</v>
      </c>
    </row>
    <row r="17" spans="1:11" s="64" customFormat="1" ht="12" customHeight="1">
      <c r="A17" s="449" t="s">
        <v>148</v>
      </c>
      <c r="B17" s="423">
        <f aca="true" t="shared" si="0" ref="B17:K17">SUM(B18:B24)</f>
        <v>0.4266461228600202</v>
      </c>
      <c r="C17" s="424">
        <f t="shared" si="0"/>
        <v>34352.452840849146</v>
      </c>
      <c r="D17" s="424">
        <f t="shared" si="0"/>
        <v>10305.735852254744</v>
      </c>
      <c r="E17" s="424">
        <f t="shared" si="0"/>
        <v>2877.233994092723</v>
      </c>
      <c r="F17" s="424"/>
      <c r="G17" s="424">
        <f t="shared" si="0"/>
        <v>295.78829749949773</v>
      </c>
      <c r="H17" s="424">
        <f t="shared" si="0"/>
        <v>21732.3297</v>
      </c>
      <c r="I17" s="424">
        <f t="shared" si="0"/>
        <v>69563.54068469611</v>
      </c>
      <c r="J17" s="697">
        <f t="shared" si="0"/>
        <v>5.953539821017434</v>
      </c>
      <c r="K17" s="697">
        <f t="shared" si="0"/>
        <v>9.493877700171431</v>
      </c>
    </row>
    <row r="18" spans="1:11" s="314" customFormat="1" ht="12" customHeight="1">
      <c r="A18" s="421" t="s">
        <v>121</v>
      </c>
      <c r="B18" s="422">
        <f>МОП!I16</f>
        <v>0.05815872887993735</v>
      </c>
      <c r="C18" s="356">
        <f>МОП!N16</f>
        <v>4633.64085811561</v>
      </c>
      <c r="D18" s="356">
        <f>МОП!O16</f>
        <v>1390.092257434683</v>
      </c>
      <c r="E18" s="356">
        <f>Мат!G27</f>
        <v>202.12096910074226</v>
      </c>
      <c r="F18" s="356"/>
      <c r="G18" s="356">
        <f>ОТ!F32</f>
        <v>40.75298680184924</v>
      </c>
      <c r="H18" s="357"/>
      <c r="I18" s="354">
        <f aca="true" t="shared" si="1" ref="I18:I24">SUM(C18:H18)-F18</f>
        <v>6266.607071452885</v>
      </c>
      <c r="J18" s="358">
        <f aca="true" t="shared" si="2" ref="J18:J24">I18/$B$2/12</f>
        <v>0.5363225387228171</v>
      </c>
      <c r="K18" s="568">
        <f aca="true" t="shared" si="3" ref="K18:K24">I18/$B$3/12</f>
        <v>0.8552526301251344</v>
      </c>
    </row>
    <row r="19" spans="1:11" s="64" customFormat="1" ht="12" customHeight="1">
      <c r="A19" s="370" t="s">
        <v>570</v>
      </c>
      <c r="B19" s="422">
        <f>МОП!I19+МОП!I20</f>
        <v>0.02666219089179814</v>
      </c>
      <c r="C19" s="280">
        <f>МОП!N19+МОП!N20</f>
        <v>2484.8050182187308</v>
      </c>
      <c r="D19" s="280">
        <f>МОП!O19+МОП!O20</f>
        <v>745.4415054656191</v>
      </c>
      <c r="E19" s="280">
        <f>Мат!H27</f>
        <v>76.93197279325649</v>
      </c>
      <c r="F19" s="280"/>
      <c r="G19" s="356">
        <f>ОТ!F33</f>
        <v>15.51154086502098</v>
      </c>
      <c r="H19" s="425"/>
      <c r="I19" s="354">
        <f t="shared" si="1"/>
        <v>3322.6900373426274</v>
      </c>
      <c r="J19" s="358">
        <f t="shared" si="2"/>
        <v>0.2843697611638276</v>
      </c>
      <c r="K19" s="568">
        <f t="shared" si="3"/>
        <v>0.4534733646335063</v>
      </c>
    </row>
    <row r="20" spans="1:11" s="64" customFormat="1" ht="12" customHeight="1">
      <c r="A20" s="370" t="s">
        <v>122</v>
      </c>
      <c r="B20" s="422">
        <f>МОП!I21</f>
        <v>0</v>
      </c>
      <c r="C20" s="356">
        <f>МОП!N21</f>
        <v>0</v>
      </c>
      <c r="D20" s="356">
        <f>МОП!O21</f>
        <v>0</v>
      </c>
      <c r="E20" s="356">
        <f>Мат!I27</f>
        <v>0</v>
      </c>
      <c r="F20" s="356"/>
      <c r="G20" s="356">
        <f>ОТ!F34</f>
        <v>0</v>
      </c>
      <c r="H20" s="355"/>
      <c r="I20" s="354">
        <f t="shared" si="1"/>
        <v>0</v>
      </c>
      <c r="J20" s="358">
        <f t="shared" si="2"/>
        <v>0</v>
      </c>
      <c r="K20" s="568">
        <f t="shared" si="3"/>
        <v>0</v>
      </c>
    </row>
    <row r="21" spans="1:11" s="64" customFormat="1" ht="12" customHeight="1">
      <c r="A21" s="370" t="s">
        <v>123</v>
      </c>
      <c r="B21" s="422">
        <f>МОП!I24</f>
        <v>0.14298854649211146</v>
      </c>
      <c r="C21" s="356">
        <f>МОП!N24</f>
        <v>11392.229232454381</v>
      </c>
      <c r="D21" s="356">
        <f>МОП!O24</f>
        <v>3417.6687697363145</v>
      </c>
      <c r="E21" s="356">
        <f>Мат!J27</f>
        <v>564.8047586438403</v>
      </c>
      <c r="F21" s="356"/>
      <c r="G21" s="356">
        <f>ОТ!F35</f>
        <v>100.1949399554157</v>
      </c>
      <c r="H21" s="355"/>
      <c r="I21" s="354">
        <f t="shared" si="1"/>
        <v>15474.897700789952</v>
      </c>
      <c r="J21" s="358">
        <f t="shared" si="2"/>
        <v>1.3244067047336578</v>
      </c>
      <c r="K21" s="568">
        <f t="shared" si="3"/>
        <v>2.1119797058617142</v>
      </c>
    </row>
    <row r="22" spans="1:11" s="64" customFormat="1" ht="12" customHeight="1">
      <c r="A22" s="370" t="s">
        <v>124</v>
      </c>
      <c r="B22" s="422">
        <f>МОП!I25</f>
        <v>0.19883665659617322</v>
      </c>
      <c r="C22" s="356">
        <f>МОП!N25</f>
        <v>15841.777732060424</v>
      </c>
      <c r="D22" s="356">
        <f>МОП!O25</f>
        <v>4752.533319618127</v>
      </c>
      <c r="E22" s="356">
        <f>Мат!K27</f>
        <v>785.4047935548842</v>
      </c>
      <c r="F22" s="356"/>
      <c r="G22" s="356">
        <f>ОТ!F36</f>
        <v>139.3288298772118</v>
      </c>
      <c r="H22" s="355"/>
      <c r="I22" s="354">
        <f t="shared" si="1"/>
        <v>21519.04467511065</v>
      </c>
      <c r="J22" s="358">
        <f t="shared" si="2"/>
        <v>1.8416901745156489</v>
      </c>
      <c r="K22" s="568">
        <f t="shared" si="3"/>
        <v>2.936871475476396</v>
      </c>
    </row>
    <row r="23" spans="1:11" s="142" customFormat="1" ht="12" customHeight="1">
      <c r="A23" s="955" t="s">
        <v>560</v>
      </c>
      <c r="B23" s="962"/>
      <c r="C23" s="493"/>
      <c r="D23" s="493"/>
      <c r="E23" s="958">
        <f>Освещен!D30</f>
        <v>1247.9715</v>
      </c>
      <c r="G23" s="493"/>
      <c r="H23" s="958"/>
      <c r="I23" s="959">
        <f t="shared" si="1"/>
        <v>1247.9715</v>
      </c>
      <c r="J23" s="960">
        <f t="shared" si="2"/>
        <v>0.10680663962206018</v>
      </c>
      <c r="K23" s="961">
        <f t="shared" si="3"/>
        <v>0.17032038159187687</v>
      </c>
    </row>
    <row r="24" spans="1:11" s="64" customFormat="1" ht="12" customHeight="1">
      <c r="A24" s="370" t="s">
        <v>171</v>
      </c>
      <c r="B24" s="375"/>
      <c r="C24" s="355"/>
      <c r="D24" s="355"/>
      <c r="E24" s="356"/>
      <c r="F24" s="355"/>
      <c r="G24" s="355"/>
      <c r="H24" s="356">
        <f>B6*B5*B4</f>
        <v>21732.3297</v>
      </c>
      <c r="I24" s="354">
        <f t="shared" si="1"/>
        <v>21732.3297</v>
      </c>
      <c r="J24" s="358">
        <f t="shared" si="2"/>
        <v>1.8599440022594225</v>
      </c>
      <c r="K24" s="568">
        <f t="shared" si="3"/>
        <v>2.965980142482804</v>
      </c>
    </row>
    <row r="25" spans="1:11" s="314" customFormat="1" ht="12" customHeight="1">
      <c r="A25" s="461" t="s">
        <v>125</v>
      </c>
      <c r="B25" s="426">
        <f>SUM(B26:B31)</f>
        <v>0.18139683973413898</v>
      </c>
      <c r="C25" s="306">
        <f>SUM(C26:C31)</f>
        <v>25163.86874445173</v>
      </c>
      <c r="D25" s="306">
        <f aca="true" t="shared" si="4" ref="D25:K25">SUM(D26:D31)</f>
        <v>7549.1606233355205</v>
      </c>
      <c r="E25" s="306">
        <f t="shared" si="4"/>
        <v>4274.21632</v>
      </c>
      <c r="F25" s="306"/>
      <c r="G25" s="306">
        <f t="shared" si="4"/>
        <v>381.68918360725075</v>
      </c>
      <c r="H25" s="306">
        <f t="shared" si="4"/>
        <v>20812.8375</v>
      </c>
      <c r="I25" s="306">
        <f t="shared" si="4"/>
        <v>58181.7723713945</v>
      </c>
      <c r="J25" s="426">
        <f t="shared" si="4"/>
        <v>4.979440311132321</v>
      </c>
      <c r="K25" s="426">
        <f t="shared" si="4"/>
        <v>7.940519212167609</v>
      </c>
    </row>
    <row r="26" spans="1:11" s="64" customFormat="1" ht="12" customHeight="1">
      <c r="A26" s="370" t="s">
        <v>240</v>
      </c>
      <c r="B26" s="427">
        <f>ТО!I11</f>
        <v>0</v>
      </c>
      <c r="C26" s="280">
        <f>ТО!O11</f>
        <v>0</v>
      </c>
      <c r="D26" s="280">
        <f>ТО!P11</f>
        <v>0</v>
      </c>
      <c r="E26" s="356" t="b">
        <f>IF(B26&gt;0,F26)</f>
        <v>0</v>
      </c>
      <c r="F26" s="428">
        <f>Мат!H35</f>
        <v>0</v>
      </c>
      <c r="G26" s="280">
        <f>ОТ!F40</f>
        <v>0</v>
      </c>
      <c r="H26" s="428"/>
      <c r="I26" s="354">
        <f aca="true" t="shared" si="5" ref="I26:I31">SUM(C26:H26)-F26</f>
        <v>0</v>
      </c>
      <c r="J26" s="358">
        <f aca="true" t="shared" si="6" ref="J26:J31">I26/$B$2/12</f>
        <v>0</v>
      </c>
      <c r="K26" s="568">
        <f aca="true" t="shared" si="7" ref="K26:K31">I26/$B$3/12</f>
        <v>0</v>
      </c>
    </row>
    <row r="27" spans="1:11" s="64" customFormat="1" ht="12" customHeight="1">
      <c r="A27" s="370" t="s">
        <v>241</v>
      </c>
      <c r="B27" s="427">
        <f>ТО!I12</f>
        <v>0.1705301327854985</v>
      </c>
      <c r="C27" s="280">
        <f>ТО!O12</f>
        <v>23829.26030136291</v>
      </c>
      <c r="D27" s="280">
        <f>ТО!P12</f>
        <v>7148.778090408874</v>
      </c>
      <c r="E27" s="356">
        <f>IF(B27&gt;0,F27)</f>
        <v>906.07632</v>
      </c>
      <c r="F27" s="356">
        <f>Мат!J49</f>
        <v>906.07632</v>
      </c>
      <c r="G27" s="280">
        <f>ОТ!F41</f>
        <v>358.8238210694864</v>
      </c>
      <c r="H27" s="355"/>
      <c r="I27" s="354">
        <f t="shared" si="5"/>
        <v>32242.938532841268</v>
      </c>
      <c r="J27" s="358">
        <f t="shared" si="6"/>
        <v>2.7594860269112034</v>
      </c>
      <c r="K27" s="568">
        <f t="shared" si="7"/>
        <v>4.400444717332851</v>
      </c>
    </row>
    <row r="28" spans="1:11" s="142" customFormat="1" ht="12.75">
      <c r="A28" s="955" t="s">
        <v>578</v>
      </c>
      <c r="B28" s="956"/>
      <c r="C28" s="957"/>
      <c r="D28" s="957"/>
      <c r="E28" s="958"/>
      <c r="F28" s="958"/>
      <c r="G28" s="957"/>
      <c r="H28" s="958">
        <f>B11*'Данные для расчета'!B45</f>
        <v>20812.8375</v>
      </c>
      <c r="I28" s="354">
        <f t="shared" si="5"/>
        <v>20812.8375</v>
      </c>
      <c r="J28" s="358">
        <f t="shared" si="6"/>
        <v>1.78125</v>
      </c>
      <c r="K28" s="568">
        <f t="shared" si="7"/>
        <v>2.8404898869963975</v>
      </c>
    </row>
    <row r="29" spans="1:11" s="64" customFormat="1" ht="12" customHeight="1">
      <c r="A29" s="370" t="s">
        <v>242</v>
      </c>
      <c r="B29" s="640">
        <f>ТО!I22</f>
        <v>0.000778247734138973</v>
      </c>
      <c r="C29" s="280">
        <f>ТО!O22</f>
        <v>93.00720377039278</v>
      </c>
      <c r="D29" s="280">
        <f>ТО!P22</f>
        <v>27.902161131117833</v>
      </c>
      <c r="E29" s="356">
        <f>IF(B29&gt;0,F29)</f>
        <v>1540.8</v>
      </c>
      <c r="F29" s="356">
        <f>Мат!H54</f>
        <v>1540.8</v>
      </c>
      <c r="G29" s="280">
        <f>ОТ!F42</f>
        <v>1.6375629405840888</v>
      </c>
      <c r="H29" s="355"/>
      <c r="I29" s="354">
        <f t="shared" si="5"/>
        <v>1663.346927842095</v>
      </c>
      <c r="J29" s="358">
        <f t="shared" si="6"/>
        <v>0.14235621237223092</v>
      </c>
      <c r="K29" s="568">
        <f t="shared" si="7"/>
        <v>0.22700989843898012</v>
      </c>
    </row>
    <row r="30" spans="1:11" s="64" customFormat="1" ht="27" customHeight="1">
      <c r="A30" s="370" t="s">
        <v>243</v>
      </c>
      <c r="B30" s="640">
        <f>ТО!I23</f>
        <v>0.004710090634441088</v>
      </c>
      <c r="C30" s="280">
        <f>ТО!O23</f>
        <v>598.8405854356497</v>
      </c>
      <c r="D30" s="280">
        <f>ТО!P23</f>
        <v>179.6521756306949</v>
      </c>
      <c r="E30" s="356">
        <f>IF(B30&gt;0,F30)</f>
        <v>1659.04</v>
      </c>
      <c r="F30" s="356">
        <f>Мат!H69</f>
        <v>1659.04</v>
      </c>
      <c r="G30" s="280">
        <f>ОТ!F43</f>
        <v>9.910815709969789</v>
      </c>
      <c r="H30" s="355"/>
      <c r="I30" s="354">
        <f t="shared" si="5"/>
        <v>2447.4435767763143</v>
      </c>
      <c r="J30" s="358">
        <f t="shared" si="6"/>
        <v>0.20946249501697256</v>
      </c>
      <c r="K30" s="568">
        <f t="shared" si="7"/>
        <v>0.334021669502172</v>
      </c>
    </row>
    <row r="31" spans="1:11" s="64" customFormat="1" ht="24" customHeight="1">
      <c r="A31" s="370" t="s">
        <v>484</v>
      </c>
      <c r="B31" s="640">
        <f>ТО!I27</f>
        <v>0.005378368580060423</v>
      </c>
      <c r="C31" s="280">
        <f>ТО!O27</f>
        <v>642.7606538827795</v>
      </c>
      <c r="D31" s="280">
        <f>ТО!P27</f>
        <v>192.82819616483383</v>
      </c>
      <c r="E31" s="356">
        <f>IF(B31&gt;0,F31)</f>
        <v>168.3</v>
      </c>
      <c r="F31" s="356">
        <f>Мат!H73</f>
        <v>168.3</v>
      </c>
      <c r="G31" s="280">
        <f>ОТ!F44</f>
        <v>11.316983887210473</v>
      </c>
      <c r="H31" s="355">
        <f>'Данные для расчета'!B38</f>
        <v>0</v>
      </c>
      <c r="I31" s="354">
        <f t="shared" si="5"/>
        <v>1015.2058339348237</v>
      </c>
      <c r="J31" s="358">
        <f t="shared" si="6"/>
        <v>0.08688557683191465</v>
      </c>
      <c r="K31" s="568">
        <f t="shared" si="7"/>
        <v>0.13855303989720816</v>
      </c>
    </row>
    <row r="32" spans="1:11" s="64" customFormat="1" ht="12" customHeight="1">
      <c r="A32" s="451" t="s">
        <v>126</v>
      </c>
      <c r="B32" s="429">
        <f aca="true" t="shared" si="8" ref="B32:K32">SUM(B33:B40)</f>
        <v>0.01414380664652568</v>
      </c>
      <c r="C32" s="430">
        <f t="shared" si="8"/>
        <v>2045.0262213375229</v>
      </c>
      <c r="D32" s="430">
        <f t="shared" si="8"/>
        <v>613.5078664012568</v>
      </c>
      <c r="E32" s="430">
        <f t="shared" si="8"/>
        <v>43.2</v>
      </c>
      <c r="F32" s="430"/>
      <c r="G32" s="430">
        <f t="shared" si="8"/>
        <v>29.760926485397786</v>
      </c>
      <c r="H32" s="430">
        <f t="shared" si="8"/>
        <v>14956.032000000003</v>
      </c>
      <c r="I32" s="430">
        <f t="shared" si="8"/>
        <v>17687.52701422418</v>
      </c>
      <c r="J32" s="429">
        <f t="shared" si="8"/>
        <v>1.5137728094060607</v>
      </c>
      <c r="K32" s="429">
        <f t="shared" si="8"/>
        <v>2.413954445657847</v>
      </c>
    </row>
    <row r="33" spans="1:11" s="64" customFormat="1" ht="12" customHeight="1">
      <c r="A33" s="421" t="s">
        <v>244</v>
      </c>
      <c r="B33" s="375"/>
      <c r="C33" s="280"/>
      <c r="D33" s="280"/>
      <c r="E33" s="425"/>
      <c r="F33" s="425"/>
      <c r="G33" s="425"/>
      <c r="H33" s="425"/>
      <c r="I33" s="354"/>
      <c r="J33" s="358">
        <f aca="true" t="shared" si="9" ref="J33:J40">I33/$B$2/12</f>
        <v>0</v>
      </c>
      <c r="K33" s="568">
        <f aca="true" t="shared" si="10" ref="K33:K40">I33/$B$3/12</f>
        <v>0</v>
      </c>
    </row>
    <row r="34" spans="1:11" s="64" customFormat="1" ht="12" customHeight="1">
      <c r="A34" s="177" t="s">
        <v>109</v>
      </c>
      <c r="B34" s="382">
        <f>ТО!I30</f>
        <v>0</v>
      </c>
      <c r="C34" s="280">
        <f>ТО!O30</f>
        <v>0</v>
      </c>
      <c r="D34" s="280">
        <f>ТО!P30</f>
        <v>0</v>
      </c>
      <c r="E34" s="356" t="b">
        <f>IF(B34&gt;0,F34)</f>
        <v>0</v>
      </c>
      <c r="G34" s="280">
        <f>ОТ!F48</f>
        <v>0</v>
      </c>
      <c r="H34" s="425"/>
      <c r="I34" s="354">
        <f aca="true" t="shared" si="11" ref="I34:I40">SUM(C34:H34)-F34</f>
        <v>0</v>
      </c>
      <c r="J34" s="358">
        <f t="shared" si="9"/>
        <v>0</v>
      </c>
      <c r="K34" s="568">
        <f t="shared" si="10"/>
        <v>0</v>
      </c>
    </row>
    <row r="35" spans="1:11" s="64" customFormat="1" ht="12" customHeight="1">
      <c r="A35" s="177" t="s">
        <v>110</v>
      </c>
      <c r="B35" s="710">
        <f>ТО!I31</f>
        <v>0.010354078549848943</v>
      </c>
      <c r="C35" s="280">
        <f>ТО!O31</f>
        <v>1592.1215768903928</v>
      </c>
      <c r="D35" s="280">
        <f>ТО!P31</f>
        <v>477.63647306711783</v>
      </c>
      <c r="E35" s="356">
        <f>IF(B35&gt;0,F35)</f>
        <v>0</v>
      </c>
      <c r="F35" s="425"/>
      <c r="G35" s="280">
        <f>ОТ!F49</f>
        <v>21.786706948640482</v>
      </c>
      <c r="H35" s="425"/>
      <c r="I35" s="354">
        <f t="shared" si="11"/>
        <v>2091.544756906151</v>
      </c>
      <c r="J35" s="358">
        <f t="shared" si="9"/>
        <v>0.1790031800440032</v>
      </c>
      <c r="K35" s="568">
        <f t="shared" si="10"/>
        <v>0.28544938815729765</v>
      </c>
    </row>
    <row r="36" spans="1:11" s="64" customFormat="1" ht="12" customHeight="1">
      <c r="A36" s="177" t="s">
        <v>349</v>
      </c>
      <c r="B36" s="382">
        <f>ТО!I32</f>
        <v>0.0010827794561933536</v>
      </c>
      <c r="C36" s="280">
        <f>ТО!O32</f>
        <v>129.40132698489427</v>
      </c>
      <c r="D36" s="280">
        <f>ТО!P32</f>
        <v>38.82039809546828</v>
      </c>
      <c r="E36" s="356">
        <f>IF(B36&gt;0,F36)</f>
        <v>21.6</v>
      </c>
      <c r="F36" s="280">
        <f>Мат!H80</f>
        <v>21.6</v>
      </c>
      <c r="G36" s="280">
        <f>ОТ!F50</f>
        <v>2.2783484390735147</v>
      </c>
      <c r="H36" s="425"/>
      <c r="I36" s="354">
        <f t="shared" si="11"/>
        <v>192.10007351943605</v>
      </c>
      <c r="J36" s="358">
        <f t="shared" si="9"/>
        <v>0.01644073067675157</v>
      </c>
      <c r="K36" s="568">
        <f t="shared" si="10"/>
        <v>0.026217391844010816</v>
      </c>
    </row>
    <row r="37" spans="1:11" s="64" customFormat="1" ht="12" customHeight="1">
      <c r="A37" s="177" t="s">
        <v>14</v>
      </c>
      <c r="B37" s="382">
        <f>ТО!I33</f>
        <v>0.0027069486404833845</v>
      </c>
      <c r="C37" s="280">
        <f>ТО!O33</f>
        <v>323.50331746223577</v>
      </c>
      <c r="D37" s="280">
        <f>ТО!P33</f>
        <v>97.05099523867072</v>
      </c>
      <c r="E37" s="356">
        <f>IF(B37&gt;0,F37)</f>
        <v>21.6</v>
      </c>
      <c r="F37" s="280">
        <f>Мат!H80</f>
        <v>21.6</v>
      </c>
      <c r="G37" s="280">
        <f>ОТ!F51</f>
        <v>5.695871097683788</v>
      </c>
      <c r="H37" s="425"/>
      <c r="I37" s="354">
        <f t="shared" si="11"/>
        <v>447.8501837985903</v>
      </c>
      <c r="J37" s="358">
        <f t="shared" si="9"/>
        <v>0.038328898685306076</v>
      </c>
      <c r="K37" s="568">
        <f t="shared" si="10"/>
        <v>0.06112159949211026</v>
      </c>
    </row>
    <row r="38" spans="1:11" s="64" customFormat="1" ht="12" customHeight="1">
      <c r="A38" s="370" t="s">
        <v>245</v>
      </c>
      <c r="B38" s="375"/>
      <c r="C38" s="225"/>
      <c r="D38" s="225"/>
      <c r="E38" s="355"/>
      <c r="F38" s="355"/>
      <c r="G38" s="355"/>
      <c r="H38" s="356">
        <f>B10*B2*12</f>
        <v>10515.960000000001</v>
      </c>
      <c r="I38" s="354">
        <f t="shared" si="11"/>
        <v>10515.960000000001</v>
      </c>
      <c r="J38" s="358">
        <f t="shared" si="9"/>
        <v>0.9</v>
      </c>
      <c r="K38" s="568">
        <f t="shared" si="10"/>
        <v>1.4351948902718636</v>
      </c>
    </row>
    <row r="39" spans="1:11" s="64" customFormat="1" ht="12" customHeight="1">
      <c r="A39" s="370" t="s">
        <v>246</v>
      </c>
      <c r="B39" s="375"/>
      <c r="C39" s="225"/>
      <c r="D39" s="225"/>
      <c r="E39" s="359"/>
      <c r="F39" s="359"/>
      <c r="G39" s="359"/>
      <c r="H39" s="280">
        <f>'Данные для расчета'!D29</f>
        <v>2103.192</v>
      </c>
      <c r="I39" s="354">
        <f t="shared" si="11"/>
        <v>2103.192</v>
      </c>
      <c r="J39" s="358">
        <f t="shared" si="9"/>
        <v>0.17999999999999997</v>
      </c>
      <c r="K39" s="568">
        <f t="shared" si="10"/>
        <v>0.28703897805437273</v>
      </c>
    </row>
    <row r="40" spans="1:11" s="64" customFormat="1" ht="12" customHeight="1">
      <c r="A40" s="370" t="s">
        <v>247</v>
      </c>
      <c r="B40" s="375"/>
      <c r="C40" s="225"/>
      <c r="D40" s="225"/>
      <c r="E40" s="359"/>
      <c r="F40" s="359"/>
      <c r="G40" s="359"/>
      <c r="H40" s="280">
        <f>'Данные для расчета'!D30</f>
        <v>2336.88</v>
      </c>
      <c r="I40" s="354">
        <f t="shared" si="11"/>
        <v>2336.88</v>
      </c>
      <c r="J40" s="358">
        <f t="shared" si="9"/>
        <v>0.19999999999999998</v>
      </c>
      <c r="K40" s="568">
        <f t="shared" si="10"/>
        <v>0.31893219783819193</v>
      </c>
    </row>
    <row r="41" spans="1:11" s="64" customFormat="1" ht="12" customHeight="1">
      <c r="A41" s="599"/>
      <c r="B41" s="600"/>
      <c r="C41" s="601"/>
      <c r="D41" s="601"/>
      <c r="E41" s="602"/>
      <c r="F41" s="602"/>
      <c r="G41" s="602"/>
      <c r="H41" s="603"/>
      <c r="I41" s="604">
        <f>I15+I17+I25+I32</f>
        <v>145432.8400703148</v>
      </c>
      <c r="J41" s="695">
        <f>J15+J17+J25+J32</f>
        <v>12.446752941555815</v>
      </c>
      <c r="K41" s="695">
        <f>K15+K17+K25+K32</f>
        <v>19.848351357996886</v>
      </c>
    </row>
    <row r="42" spans="1:11" s="64" customFormat="1" ht="12" customHeight="1">
      <c r="A42" s="431" t="s">
        <v>172</v>
      </c>
      <c r="B42" s="432">
        <f>SUM(B43:B45)</f>
        <v>4E-05</v>
      </c>
      <c r="C42" s="432">
        <f>SUM(C43:C45)</f>
        <v>0</v>
      </c>
      <c r="D42" s="432">
        <f aca="true" t="shared" si="12" ref="D42:K42">SUM(D43:D45)</f>
        <v>0</v>
      </c>
      <c r="E42" s="432">
        <f t="shared" si="12"/>
        <v>0</v>
      </c>
      <c r="F42" s="432"/>
      <c r="G42" s="432">
        <f t="shared" si="12"/>
        <v>0</v>
      </c>
      <c r="H42" s="432">
        <f t="shared" si="12"/>
        <v>14543.28400703148</v>
      </c>
      <c r="I42" s="432">
        <f t="shared" si="12"/>
        <v>14543.28400703148</v>
      </c>
      <c r="J42" s="694">
        <f t="shared" si="12"/>
        <v>1.2446752941555816</v>
      </c>
      <c r="K42" s="694">
        <f t="shared" si="12"/>
        <v>1.9848351357996885</v>
      </c>
    </row>
    <row r="43" spans="1:11" s="64" customFormat="1" ht="12" customHeight="1">
      <c r="A43" s="433" t="s">
        <v>248</v>
      </c>
      <c r="B43" s="434"/>
      <c r="C43" s="357"/>
      <c r="D43" s="357"/>
      <c r="E43" s="357"/>
      <c r="F43" s="357"/>
      <c r="G43" s="357"/>
      <c r="H43" s="360">
        <f>I41*0.1</f>
        <v>14543.28400703148</v>
      </c>
      <c r="I43" s="354">
        <f>SUM(C43:H43)-F43</f>
        <v>14543.28400703148</v>
      </c>
      <c r="J43" s="358">
        <f>I43/$B$2/12</f>
        <v>1.2446752941555816</v>
      </c>
      <c r="K43" s="568">
        <f>I43/$B$3/12</f>
        <v>1.9848351357996885</v>
      </c>
    </row>
    <row r="44" spans="1:11" s="64" customFormat="1" ht="12" customHeight="1">
      <c r="A44" s="726" t="s">
        <v>474</v>
      </c>
      <c r="B44" s="434"/>
      <c r="C44" s="357"/>
      <c r="D44" s="357"/>
      <c r="E44" s="357"/>
      <c r="F44" s="357"/>
      <c r="G44" s="357"/>
      <c r="H44" s="360">
        <f>'Данные для расчета'!D27</f>
        <v>0</v>
      </c>
      <c r="I44" s="354">
        <f>SUM(C44:H44)-F44</f>
        <v>0</v>
      </c>
      <c r="J44" s="358">
        <f>I44/$B$2/12</f>
        <v>0</v>
      </c>
      <c r="K44" s="568">
        <f>I44/$B$3/12</f>
        <v>0</v>
      </c>
    </row>
    <row r="45" spans="1:11" s="64" customFormat="1" ht="12" customHeight="1">
      <c r="A45" s="726" t="s">
        <v>416</v>
      </c>
      <c r="B45" s="356">
        <f>Общ!D8</f>
        <v>4E-05</v>
      </c>
      <c r="C45" s="360">
        <f>Общ!J8</f>
        <v>0</v>
      </c>
      <c r="D45" s="360">
        <f>Общ!K8</f>
        <v>0</v>
      </c>
      <c r="E45" s="360">
        <v>0</v>
      </c>
      <c r="F45" s="360"/>
      <c r="G45" s="357"/>
      <c r="H45" s="360"/>
      <c r="I45" s="354">
        <f>SUM(C45:H45)</f>
        <v>0</v>
      </c>
      <c r="J45" s="358">
        <f>I45/$B$2/12</f>
        <v>0</v>
      </c>
      <c r="K45" s="568">
        <f>I45/$B$3/12</f>
        <v>0</v>
      </c>
    </row>
    <row r="46" spans="1:11" s="64" customFormat="1" ht="12" customHeight="1">
      <c r="A46" s="435" t="s">
        <v>239</v>
      </c>
      <c r="B46" s="436">
        <f>B15+B17+B25+B32+B42</f>
        <v>0.6222267692406849</v>
      </c>
      <c r="C46" s="436">
        <f>C15+C17+C25+C32+C42</f>
        <v>61561.3478066384</v>
      </c>
      <c r="D46" s="436">
        <f>D15+D17+D25+D32+D42</f>
        <v>18468.40434199152</v>
      </c>
      <c r="E46" s="436">
        <f>E15+E17+E25+E32+E42</f>
        <v>7194.650314092723</v>
      </c>
      <c r="F46" s="436"/>
      <c r="G46" s="436">
        <f>G15+G17+G25+G32+G42</f>
        <v>707.2384075921462</v>
      </c>
      <c r="H46" s="436">
        <f>H15+H17+H25+H32+H42</f>
        <v>72044.48320703149</v>
      </c>
      <c r="I46" s="436">
        <f>I15+I17+I25+I32+I42</f>
        <v>159976.12407734626</v>
      </c>
      <c r="J46" s="696">
        <f>J15+J17+J25+J32+J42</f>
        <v>13.691428235711395</v>
      </c>
      <c r="K46" s="696">
        <f>K15+K17+K25+K32+K42</f>
        <v>21.833186493796575</v>
      </c>
    </row>
    <row r="47" spans="1:11" ht="39.75" customHeight="1">
      <c r="A47" s="465"/>
      <c r="B47" s="465"/>
      <c r="C47" s="553"/>
      <c r="D47" s="553"/>
      <c r="E47" s="553"/>
      <c r="F47" s="553"/>
      <c r="G47" s="553"/>
      <c r="H47" s="553"/>
      <c r="I47" s="548"/>
      <c r="J47" s="553"/>
      <c r="K47" s="553"/>
    </row>
    <row r="48" spans="1:11" ht="12" customHeight="1">
      <c r="A48" s="733" t="s">
        <v>32</v>
      </c>
      <c r="B48" s="734"/>
      <c r="C48" s="734"/>
      <c r="D48" s="734"/>
      <c r="E48" s="734"/>
      <c r="F48" s="734"/>
      <c r="G48" s="734"/>
      <c r="H48" s="734"/>
      <c r="I48" s="735"/>
      <c r="J48" s="734"/>
      <c r="K48" s="736"/>
    </row>
    <row r="49" spans="1:11" s="117" customFormat="1" ht="12" customHeight="1">
      <c r="A49" s="109"/>
      <c r="B49" s="109" t="s">
        <v>15</v>
      </c>
      <c r="C49" s="110" t="s">
        <v>308</v>
      </c>
      <c r="D49" s="110" t="s">
        <v>266</v>
      </c>
      <c r="E49" s="110" t="s">
        <v>309</v>
      </c>
      <c r="F49" s="110"/>
      <c r="G49" s="110" t="s">
        <v>310</v>
      </c>
      <c r="H49" s="110" t="s">
        <v>330</v>
      </c>
      <c r="I49" s="109" t="s">
        <v>344</v>
      </c>
      <c r="J49" s="120" t="s">
        <v>261</v>
      </c>
      <c r="K49" s="120" t="s">
        <v>415</v>
      </c>
    </row>
    <row r="50" spans="1:11" s="117" customFormat="1" ht="12" customHeight="1">
      <c r="A50" s="437" t="s">
        <v>128</v>
      </c>
      <c r="B50" s="416"/>
      <c r="C50" s="417"/>
      <c r="D50" s="417"/>
      <c r="E50" s="417"/>
      <c r="F50" s="417"/>
      <c r="G50" s="417"/>
      <c r="H50" s="417"/>
      <c r="I50" s="698">
        <f>SUM(I51:I54)</f>
        <v>4981.991526833113</v>
      </c>
      <c r="J50" s="439">
        <f>SUM(J51:J54)</f>
        <v>0.42637974794025474</v>
      </c>
      <c r="K50" s="439">
        <f>SUM(K51:K54)</f>
        <v>3.6491368657376904E-05</v>
      </c>
    </row>
    <row r="51" spans="1:11" s="64" customFormat="1" ht="12" customHeight="1">
      <c r="A51" s="400" t="s">
        <v>37</v>
      </c>
      <c r="B51" s="408">
        <f>МОП!I33</f>
        <v>0.048100785498489444</v>
      </c>
      <c r="C51" s="356">
        <f>МОП!N33</f>
        <v>3832.3011744870105</v>
      </c>
      <c r="D51" s="356">
        <f>МОП!O33</f>
        <v>1149.690352346103</v>
      </c>
      <c r="E51" s="355"/>
      <c r="F51" s="355"/>
      <c r="G51" s="355"/>
      <c r="H51" s="355"/>
      <c r="I51" s="354">
        <f>SUM(C51:H51)</f>
        <v>4981.991526833113</v>
      </c>
      <c r="J51" s="701">
        <f aca="true" t="shared" si="13" ref="J51:K64">I51/$B$2/12</f>
        <v>0.42637974794025474</v>
      </c>
      <c r="K51" s="702">
        <f t="shared" si="13"/>
        <v>3.6491368657376904E-05</v>
      </c>
    </row>
    <row r="52" spans="1:11" s="64" customFormat="1" ht="12" customHeight="1">
      <c r="A52" s="401" t="s">
        <v>275</v>
      </c>
      <c r="B52" s="408">
        <f>МОП!I34</f>
        <v>0</v>
      </c>
      <c r="C52" s="356">
        <f>МОП!N34</f>
        <v>0</v>
      </c>
      <c r="D52" s="356">
        <f>МОП!O34</f>
        <v>0</v>
      </c>
      <c r="E52" s="355"/>
      <c r="F52" s="355"/>
      <c r="G52" s="355"/>
      <c r="H52" s="355"/>
      <c r="I52" s="354">
        <f>SUM(C52:H52)</f>
        <v>0</v>
      </c>
      <c r="J52" s="701">
        <f t="shared" si="13"/>
        <v>0</v>
      </c>
      <c r="K52" s="702">
        <f t="shared" si="13"/>
        <v>0</v>
      </c>
    </row>
    <row r="53" spans="1:11" s="64" customFormat="1" ht="12" customHeight="1">
      <c r="A53" s="400" t="s">
        <v>34</v>
      </c>
      <c r="B53" s="408">
        <f>МОП!I35</f>
        <v>0</v>
      </c>
      <c r="C53" s="356">
        <f>МОП!N35</f>
        <v>0</v>
      </c>
      <c r="D53" s="356">
        <f>МОП!O35</f>
        <v>0</v>
      </c>
      <c r="E53" s="355"/>
      <c r="F53" s="355"/>
      <c r="G53" s="355"/>
      <c r="H53" s="355"/>
      <c r="I53" s="354">
        <f>SUM(C53:H53)</f>
        <v>0</v>
      </c>
      <c r="J53" s="701">
        <f t="shared" si="13"/>
        <v>0</v>
      </c>
      <c r="K53" s="702">
        <f t="shared" si="13"/>
        <v>0</v>
      </c>
    </row>
    <row r="54" spans="1:11" s="64" customFormat="1" ht="12" customHeight="1">
      <c r="A54" s="400" t="s">
        <v>276</v>
      </c>
      <c r="B54" s="408">
        <f>МОП!I36</f>
        <v>0</v>
      </c>
      <c r="C54" s="356">
        <f>МОП!N36</f>
        <v>0</v>
      </c>
      <c r="D54" s="356">
        <f>МОП!O36</f>
        <v>0</v>
      </c>
      <c r="E54" s="355"/>
      <c r="F54" s="355"/>
      <c r="G54" s="355"/>
      <c r="H54" s="355"/>
      <c r="I54" s="354">
        <f>SUM(C54:H54)</f>
        <v>0</v>
      </c>
      <c r="J54" s="701">
        <f t="shared" si="13"/>
        <v>0</v>
      </c>
      <c r="K54" s="702">
        <f t="shared" si="13"/>
        <v>0</v>
      </c>
    </row>
    <row r="55" spans="1:11" ht="12" customHeight="1">
      <c r="A55" s="438" t="s">
        <v>148</v>
      </c>
      <c r="B55" s="415">
        <f>МОП!I37</f>
        <v>0.03365188318227594</v>
      </c>
      <c r="C55" s="414">
        <f>МОП!N37</f>
        <v>2681.1236055009067</v>
      </c>
      <c r="D55" s="414">
        <f>МОП!O37</f>
        <v>804.337081650272</v>
      </c>
      <c r="E55" s="413"/>
      <c r="F55" s="413"/>
      <c r="G55" s="413"/>
      <c r="H55" s="413"/>
      <c r="I55" s="699">
        <f>SUM(I56:I58)</f>
        <v>3485.4606871511787</v>
      </c>
      <c r="J55" s="414">
        <f>SUM(J56:J58)</f>
        <v>0.29830035664229043</v>
      </c>
      <c r="K55" s="414">
        <f>SUM(K56:K58)</f>
        <v>2.5529796706916093E-05</v>
      </c>
    </row>
    <row r="56" spans="1:11" ht="12" customHeight="1">
      <c r="A56" s="404" t="s">
        <v>277</v>
      </c>
      <c r="B56" s="408">
        <f>МОП!I38</f>
        <v>0</v>
      </c>
      <c r="C56" s="356">
        <f>МОП!N38</f>
        <v>0</v>
      </c>
      <c r="D56" s="356">
        <f>МОП!O38</f>
        <v>0</v>
      </c>
      <c r="E56" s="119"/>
      <c r="F56" s="119"/>
      <c r="G56" s="119"/>
      <c r="H56" s="119"/>
      <c r="I56" s="354">
        <f>SUM(C56:H56)</f>
        <v>0</v>
      </c>
      <c r="J56" s="701">
        <f t="shared" si="13"/>
        <v>0</v>
      </c>
      <c r="K56" s="702">
        <f t="shared" si="13"/>
        <v>0</v>
      </c>
    </row>
    <row r="57" spans="1:11" ht="12" customHeight="1">
      <c r="A57" s="404" t="s">
        <v>278</v>
      </c>
      <c r="B57" s="408">
        <f>МОП!I39</f>
        <v>0</v>
      </c>
      <c r="C57" s="356">
        <f>МОП!N39</f>
        <v>0</v>
      </c>
      <c r="D57" s="356">
        <f>МОП!O39</f>
        <v>0</v>
      </c>
      <c r="E57" s="119"/>
      <c r="F57" s="119"/>
      <c r="G57" s="119"/>
      <c r="H57" s="119"/>
      <c r="I57" s="354">
        <f>SUM(C57:H57)</f>
        <v>0</v>
      </c>
      <c r="J57" s="701">
        <f t="shared" si="13"/>
        <v>0</v>
      </c>
      <c r="K57" s="702">
        <f t="shared" si="13"/>
        <v>0</v>
      </c>
    </row>
    <row r="58" spans="1:11" ht="12" customHeight="1">
      <c r="A58" s="404" t="s">
        <v>279</v>
      </c>
      <c r="B58" s="408">
        <f>МОП!I40</f>
        <v>0.03365188318227594</v>
      </c>
      <c r="C58" s="356">
        <f>МОП!N40</f>
        <v>2681.1236055009067</v>
      </c>
      <c r="D58" s="356">
        <f>МОП!O40</f>
        <v>804.337081650272</v>
      </c>
      <c r="E58" s="119"/>
      <c r="F58" s="119"/>
      <c r="G58" s="119"/>
      <c r="H58" s="119"/>
      <c r="I58" s="354">
        <f>SUM(C58:H58)</f>
        <v>3485.4606871511787</v>
      </c>
      <c r="J58" s="701">
        <f t="shared" si="13"/>
        <v>0.29830035664229043</v>
      </c>
      <c r="K58" s="702">
        <f t="shared" si="13"/>
        <v>2.5529796706916093E-05</v>
      </c>
    </row>
    <row r="59" spans="1:11" ht="12" customHeight="1">
      <c r="A59" s="440" t="s">
        <v>281</v>
      </c>
      <c r="B59" s="453"/>
      <c r="C59" s="453"/>
      <c r="D59" s="453"/>
      <c r="E59" s="453"/>
      <c r="F59" s="453"/>
      <c r="G59" s="453"/>
      <c r="H59" s="453"/>
      <c r="I59" s="700">
        <f>SUM(I60:I61)</f>
        <v>5295.573730868389</v>
      </c>
      <c r="J59" s="446">
        <f>SUM(J60:J61)</f>
        <v>0.45321742929618886</v>
      </c>
      <c r="K59" s="446">
        <f>SUM(K60:K61)</f>
        <v>3.878825008525802E-05</v>
      </c>
    </row>
    <row r="60" spans="1:11" ht="12" customHeight="1">
      <c r="A60" s="452" t="s">
        <v>282</v>
      </c>
      <c r="B60" s="462"/>
      <c r="C60" s="463"/>
      <c r="D60" s="463"/>
      <c r="E60" s="463"/>
      <c r="F60" s="463"/>
      <c r="G60" s="463"/>
      <c r="H60" s="396"/>
      <c r="I60" s="337">
        <f>SUM(C60:H60)</f>
        <v>0</v>
      </c>
      <c r="J60" s="701">
        <f t="shared" si="13"/>
        <v>0</v>
      </c>
      <c r="K60" s="702">
        <f t="shared" si="13"/>
        <v>0</v>
      </c>
    </row>
    <row r="61" spans="1:15" s="76" customFormat="1" ht="12" customHeight="1">
      <c r="A61" s="63" t="s">
        <v>487</v>
      </c>
      <c r="B61" s="408">
        <f>ТО!I40</f>
        <v>0.005152944612286004</v>
      </c>
      <c r="C61" s="356">
        <f>ТО!O40</f>
        <v>615.8205781384896</v>
      </c>
      <c r="D61" s="356">
        <f>ТО!P40</f>
        <v>184.7461734415469</v>
      </c>
      <c r="E61" s="356">
        <f>ТО!Q40</f>
        <v>4484.164325000001</v>
      </c>
      <c r="F61" s="119"/>
      <c r="G61" s="119">
        <f>ОТ!F81</f>
        <v>10.842654288351799</v>
      </c>
      <c r="H61" s="119"/>
      <c r="I61" s="354">
        <f>SUM(C61:H61)</f>
        <v>5295.573730868389</v>
      </c>
      <c r="J61" s="701">
        <f t="shared" si="13"/>
        <v>0.45321742929618886</v>
      </c>
      <c r="K61" s="702">
        <f t="shared" si="13"/>
        <v>3.878825008525802E-05</v>
      </c>
      <c r="M61" s="46"/>
      <c r="N61" s="46"/>
      <c r="O61" s="46"/>
    </row>
    <row r="62" spans="1:11" ht="12" customHeight="1">
      <c r="A62" s="443" t="s">
        <v>283</v>
      </c>
      <c r="B62" s="443"/>
      <c r="C62" s="443"/>
      <c r="D62" s="443"/>
      <c r="E62" s="443"/>
      <c r="F62" s="443"/>
      <c r="G62" s="443"/>
      <c r="H62" s="443"/>
      <c r="I62" s="813">
        <f>SUM(I63:I64)</f>
        <v>0</v>
      </c>
      <c r="J62" s="447">
        <f>SUM(J63:J64)</f>
        <v>0</v>
      </c>
      <c r="K62" s="447">
        <f>SUM(K63:K64)</f>
        <v>0</v>
      </c>
    </row>
    <row r="63" spans="1:11" ht="12" customHeight="1">
      <c r="A63" s="441" t="s">
        <v>284</v>
      </c>
      <c r="B63" s="458"/>
      <c r="C63" s="459"/>
      <c r="D63" s="459"/>
      <c r="E63" s="459"/>
      <c r="F63" s="459"/>
      <c r="G63" s="459"/>
      <c r="H63" s="459"/>
      <c r="I63" s="337">
        <f>SUM(C63:H63)</f>
        <v>0</v>
      </c>
      <c r="J63" s="701">
        <f t="shared" si="13"/>
        <v>0</v>
      </c>
      <c r="K63" s="702">
        <f t="shared" si="13"/>
        <v>0</v>
      </c>
    </row>
    <row r="64" spans="1:11" ht="12" customHeight="1">
      <c r="A64" s="442" t="s">
        <v>285</v>
      </c>
      <c r="B64" s="456"/>
      <c r="C64" s="460"/>
      <c r="D64" s="460"/>
      <c r="E64" s="460"/>
      <c r="F64" s="460"/>
      <c r="G64" s="460"/>
      <c r="H64" s="460"/>
      <c r="I64" s="457">
        <f>SUM(C64:H64)</f>
        <v>0</v>
      </c>
      <c r="J64" s="606">
        <f t="shared" si="13"/>
        <v>0</v>
      </c>
      <c r="K64" s="703">
        <f t="shared" si="13"/>
        <v>0</v>
      </c>
    </row>
    <row r="65" ht="12" customHeight="1"/>
    <row r="66" ht="12" customHeight="1"/>
    <row r="67" ht="12" customHeight="1"/>
    <row r="68" ht="12" customHeight="1"/>
    <row r="69" ht="12" customHeight="1"/>
  </sheetData>
  <sheetProtection/>
  <mergeCells count="2">
    <mergeCell ref="E14:F14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9"/>
  <sheetViews>
    <sheetView zoomScalePageLayoutView="0" workbookViewId="0" topLeftCell="A22">
      <selection activeCell="C46" sqref="C46"/>
    </sheetView>
  </sheetViews>
  <sheetFormatPr defaultColWidth="9.00390625" defaultRowHeight="12.75"/>
  <cols>
    <col min="1" max="1" width="42.375" style="791" customWidth="1"/>
    <col min="2" max="2" width="10.375" style="756" customWidth="1"/>
    <col min="3" max="16384" width="9.125" style="756" customWidth="1"/>
  </cols>
  <sheetData>
    <row r="3" spans="1:2" ht="12.75">
      <c r="A3" s="764" t="s">
        <v>273</v>
      </c>
      <c r="B3" s="765">
        <v>1986</v>
      </c>
    </row>
    <row r="4" spans="1:2" ht="12.75">
      <c r="A4" s="766" t="s">
        <v>270</v>
      </c>
      <c r="B4" s="767">
        <v>1.12</v>
      </c>
    </row>
    <row r="5" spans="1:2" ht="12.75">
      <c r="A5" s="768" t="s">
        <v>262</v>
      </c>
      <c r="B5" s="769">
        <v>3458</v>
      </c>
    </row>
    <row r="6" spans="1:3" ht="12.75">
      <c r="A6" s="766" t="s">
        <v>465</v>
      </c>
      <c r="B6" s="770">
        <f>$B$5*C6</f>
        <v>4322.5</v>
      </c>
      <c r="C6" s="756">
        <v>1.25</v>
      </c>
    </row>
    <row r="7" spans="1:3" ht="12.75">
      <c r="A7" s="766" t="s">
        <v>466</v>
      </c>
      <c r="B7" s="770">
        <f>$B$5*C7</f>
        <v>5187</v>
      </c>
      <c r="C7" s="756">
        <v>1.5</v>
      </c>
    </row>
    <row r="8" spans="1:3" ht="12.75">
      <c r="A8" s="766" t="s">
        <v>467</v>
      </c>
      <c r="B8" s="770">
        <f>$B$5*C8</f>
        <v>5878.599999999999</v>
      </c>
      <c r="C8" s="756">
        <v>1.7</v>
      </c>
    </row>
    <row r="9" spans="1:3" ht="12.75">
      <c r="A9" s="766" t="s">
        <v>468</v>
      </c>
      <c r="B9" s="770">
        <f>$B$5*C9</f>
        <v>6673.94</v>
      </c>
      <c r="C9" s="756">
        <v>1.93</v>
      </c>
    </row>
    <row r="10" spans="1:3" ht="12.75">
      <c r="A10" s="766" t="s">
        <v>469</v>
      </c>
      <c r="B10" s="770">
        <f>$B$5*C10</f>
        <v>7538.4400000000005</v>
      </c>
      <c r="C10" s="756">
        <v>2.18</v>
      </c>
    </row>
    <row r="11" spans="1:2" ht="12.75">
      <c r="A11" s="771" t="s">
        <v>266</v>
      </c>
      <c r="B11" s="772">
        <v>0.3</v>
      </c>
    </row>
    <row r="12" spans="1:2" ht="12.75">
      <c r="A12" s="773" t="s">
        <v>443</v>
      </c>
      <c r="B12" s="774">
        <v>2.07</v>
      </c>
    </row>
    <row r="13" spans="1:2" ht="12.75">
      <c r="A13" s="773" t="s">
        <v>464</v>
      </c>
      <c r="B13" s="775">
        <v>172.11</v>
      </c>
    </row>
    <row r="14" spans="1:3" ht="12.75">
      <c r="A14" s="776" t="s">
        <v>445</v>
      </c>
      <c r="B14" s="777">
        <v>3.2</v>
      </c>
      <c r="C14" s="778">
        <f>(25-5)*365/1000</f>
        <v>7.3</v>
      </c>
    </row>
    <row r="15" spans="1:2" ht="12.75">
      <c r="A15" s="776" t="s">
        <v>463</v>
      </c>
      <c r="B15" s="778">
        <v>163.67</v>
      </c>
    </row>
    <row r="16" spans="1:2" ht="12.75">
      <c r="A16" s="779" t="s">
        <v>447</v>
      </c>
      <c r="B16" s="780">
        <v>0.9</v>
      </c>
    </row>
    <row r="17" spans="1:2" ht="12.75">
      <c r="A17" s="781" t="s">
        <v>440</v>
      </c>
      <c r="B17" s="782">
        <f>SUM(B18:B19)</f>
        <v>302</v>
      </c>
    </row>
    <row r="18" spans="1:2" ht="12.75">
      <c r="A18" s="783" t="s">
        <v>294</v>
      </c>
      <c r="B18" s="767">
        <v>148</v>
      </c>
    </row>
    <row r="19" spans="1:2" ht="12.75">
      <c r="A19" s="784" t="s">
        <v>295</v>
      </c>
      <c r="B19" s="785">
        <v>154</v>
      </c>
    </row>
    <row r="20" spans="1:2" ht="12.75">
      <c r="A20" s="786" t="s">
        <v>470</v>
      </c>
      <c r="B20" s="787">
        <v>1.2</v>
      </c>
    </row>
    <row r="21" spans="1:2" ht="12.75">
      <c r="A21" s="786" t="s">
        <v>471</v>
      </c>
      <c r="B21" s="787">
        <v>1.2</v>
      </c>
    </row>
    <row r="22" spans="1:2" ht="12.75">
      <c r="A22" s="786" t="s">
        <v>472</v>
      </c>
      <c r="B22" s="788">
        <v>0</v>
      </c>
    </row>
    <row r="23" spans="1:2" ht="12.75">
      <c r="A23" s="789" t="s">
        <v>136</v>
      </c>
      <c r="B23" s="790">
        <v>1.6</v>
      </c>
    </row>
    <row r="25" ht="12.75">
      <c r="A25" s="755" t="s">
        <v>393</v>
      </c>
    </row>
    <row r="26" spans="1:5" ht="25.5">
      <c r="A26" s="757"/>
      <c r="B26" s="757" t="s">
        <v>68</v>
      </c>
      <c r="C26" s="757" t="s">
        <v>69</v>
      </c>
      <c r="D26" s="757" t="s">
        <v>70</v>
      </c>
      <c r="E26" s="758"/>
    </row>
    <row r="27" spans="1:5" ht="12.75">
      <c r="A27" s="759" t="s">
        <v>394</v>
      </c>
      <c r="B27" s="759">
        <f>'Приложение №1'!$B$31</f>
        <v>973.7</v>
      </c>
      <c r="C27" s="760"/>
      <c r="D27" s="761">
        <f>B27*C27*12</f>
        <v>0</v>
      </c>
      <c r="E27" s="762">
        <f>D27</f>
        <v>0</v>
      </c>
    </row>
    <row r="28" spans="1:5" ht="12.75">
      <c r="A28" s="759" t="s">
        <v>395</v>
      </c>
      <c r="B28" s="759">
        <f>'Приложение №1'!$B$31</f>
        <v>973.7</v>
      </c>
      <c r="C28" s="760"/>
      <c r="D28" s="761">
        <f>B28*C28*12</f>
        <v>0</v>
      </c>
      <c r="E28" s="763"/>
    </row>
    <row r="29" spans="1:4" ht="12.75">
      <c r="A29" s="792" t="s">
        <v>246</v>
      </c>
      <c r="B29" s="759">
        <f>'Приложение №1'!$B$31</f>
        <v>973.7</v>
      </c>
      <c r="C29" s="760">
        <v>0.18</v>
      </c>
      <c r="D29" s="761">
        <f>B29*C29*12</f>
        <v>2103.192</v>
      </c>
    </row>
    <row r="30" spans="1:4" ht="12.75">
      <c r="A30" s="792" t="s">
        <v>247</v>
      </c>
      <c r="B30" s="759">
        <f>'Приложение №1'!$B$31</f>
        <v>973.7</v>
      </c>
      <c r="C30" s="760">
        <v>0.2</v>
      </c>
      <c r="D30" s="761">
        <f>B30*C30*12</f>
        <v>2336.88</v>
      </c>
    </row>
    <row r="31" spans="3:4" ht="24" customHeight="1">
      <c r="C31" s="757" t="s">
        <v>567</v>
      </c>
      <c r="D31" s="938"/>
    </row>
    <row r="32" spans="1:4" ht="12.75">
      <c r="A32" s="794" t="s">
        <v>477</v>
      </c>
      <c r="B32" s="937">
        <f>C32*D32</f>
        <v>4</v>
      </c>
      <c r="C32" s="759">
        <f>'Приложение №1'!B35</f>
        <v>2</v>
      </c>
      <c r="D32" s="759">
        <v>2</v>
      </c>
    </row>
    <row r="33" spans="1:4" ht="12.75">
      <c r="A33" s="795" t="s">
        <v>476</v>
      </c>
      <c r="B33" s="937">
        <f>C33*D33</f>
        <v>4</v>
      </c>
      <c r="C33" s="759">
        <f>'Приложение №1'!B35</f>
        <v>2</v>
      </c>
      <c r="D33" s="759">
        <v>2</v>
      </c>
    </row>
    <row r="34" spans="1:4" ht="12.75">
      <c r="A34" s="795" t="s">
        <v>598</v>
      </c>
      <c r="B34" s="1003">
        <f>C34*D34</f>
        <v>8</v>
      </c>
      <c r="C34" s="759">
        <f>'Приложение №1'!B35</f>
        <v>2</v>
      </c>
      <c r="D34" s="759">
        <v>4</v>
      </c>
    </row>
    <row r="35" spans="1:2" ht="12.75">
      <c r="A35" s="803" t="s">
        <v>480</v>
      </c>
      <c r="B35" s="936">
        <f>'Приложение №1'!B38</f>
        <v>0</v>
      </c>
    </row>
    <row r="36" spans="1:5" ht="12.75">
      <c r="A36" s="804" t="s">
        <v>478</v>
      </c>
      <c r="B36" s="935">
        <v>8</v>
      </c>
      <c r="D36" s="793"/>
      <c r="E36" s="793"/>
    </row>
    <row r="37" spans="1:5" ht="12.75">
      <c r="A37" s="933" t="s">
        <v>594</v>
      </c>
      <c r="B37" s="934">
        <f>C37*D37</f>
        <v>51</v>
      </c>
      <c r="C37" s="933">
        <f>'Приложение №1'!B23</f>
        <v>17</v>
      </c>
      <c r="D37" s="933">
        <v>3</v>
      </c>
      <c r="E37" s="793"/>
    </row>
    <row r="38" spans="1:7" ht="12.75">
      <c r="A38" s="933" t="s">
        <v>485</v>
      </c>
      <c r="B38" s="934"/>
      <c r="C38" s="933">
        <f>'Приложение №1'!B23</f>
        <v>17</v>
      </c>
      <c r="D38" s="814">
        <f>E38*F38</f>
        <v>0</v>
      </c>
      <c r="E38" s="814"/>
      <c r="F38" s="849">
        <v>0.1</v>
      </c>
      <c r="G38" s="815" t="s">
        <v>500</v>
      </c>
    </row>
    <row r="39" spans="1:5" ht="12.75">
      <c r="A39" s="953" t="s">
        <v>479</v>
      </c>
      <c r="B39" s="932">
        <f>IF(B40&gt;0,'Приложение №1'!B31)</f>
        <v>973.7</v>
      </c>
      <c r="C39" s="793"/>
      <c r="D39" s="793"/>
      <c r="E39" s="793"/>
    </row>
    <row r="40" spans="1:5" ht="12.75">
      <c r="A40" s="954" t="s">
        <v>475</v>
      </c>
      <c r="B40" s="1009">
        <f>IF(B38=0,C40)</f>
        <v>657.009</v>
      </c>
      <c r="C40" s="1010">
        <f>D40+E40</f>
        <v>657.009</v>
      </c>
      <c r="D40" s="1011">
        <f>D45*G45</f>
        <v>555.009</v>
      </c>
      <c r="E40" s="1012">
        <f>C37*D37*2</f>
        <v>102</v>
      </c>
    </row>
    <row r="41" spans="1:2" ht="12.75">
      <c r="A41" s="933" t="s">
        <v>483</v>
      </c>
      <c r="B41" s="802">
        <f>IF(B40&gt;0,'Приложение №1'!$B$27)</f>
        <v>3974</v>
      </c>
    </row>
    <row r="42" spans="1:5" ht="12.75">
      <c r="A42" s="759" t="s">
        <v>537</v>
      </c>
      <c r="B42" s="759">
        <v>6</v>
      </c>
      <c r="D42" s="793"/>
      <c r="E42" s="793"/>
    </row>
    <row r="43" spans="1:2" ht="12.75">
      <c r="A43" s="948"/>
      <c r="B43" s="952">
        <f>IF(B40&gt;0,'Приложение №1'!$B$31)</f>
        <v>973.7</v>
      </c>
    </row>
    <row r="44" spans="1:2" ht="12.75">
      <c r="A44" s="949" t="s">
        <v>573</v>
      </c>
      <c r="B44" s="950">
        <f>'Приложение №1'!B35</f>
        <v>2</v>
      </c>
    </row>
    <row r="45" spans="1:7" ht="12.75">
      <c r="A45" s="951" t="s">
        <v>579</v>
      </c>
      <c r="B45" s="963">
        <f>D45*C45</f>
        <v>27.75045</v>
      </c>
      <c r="C45" s="1013">
        <v>0.1</v>
      </c>
      <c r="D45" s="950">
        <f>F45/G45*E45</f>
        <v>277.5045</v>
      </c>
      <c r="E45" s="759">
        <v>0.57</v>
      </c>
      <c r="F45" s="950">
        <f>'Приложение №1'!B31</f>
        <v>973.7</v>
      </c>
      <c r="G45" s="950">
        <f>'Приложение №1'!B18</f>
        <v>2</v>
      </c>
    </row>
    <row r="46" spans="1:5" ht="12.75" customHeight="1">
      <c r="A46" s="846" t="s">
        <v>495</v>
      </c>
      <c r="B46" s="841">
        <f>'Приложение №1'!B47</f>
        <v>0</v>
      </c>
      <c r="C46" s="866">
        <f>B46*D46</f>
        <v>0</v>
      </c>
      <c r="D46" s="868"/>
      <c r="E46" s="1099" t="s">
        <v>499</v>
      </c>
    </row>
    <row r="47" spans="1:5" ht="12.75">
      <c r="A47" s="847" t="s">
        <v>496</v>
      </c>
      <c r="B47" s="842">
        <f>'Приложение №1'!B48</f>
        <v>0</v>
      </c>
      <c r="C47" s="866">
        <f>B47*D47</f>
        <v>0</v>
      </c>
      <c r="D47" s="868"/>
      <c r="E47" s="1099"/>
    </row>
    <row r="48" spans="1:5" ht="12.75">
      <c r="A48" s="847" t="s">
        <v>498</v>
      </c>
      <c r="B48" s="842">
        <f>'Приложение №1'!B49</f>
        <v>745.9</v>
      </c>
      <c r="C48" s="866">
        <f>B48*D48</f>
        <v>18.6475</v>
      </c>
      <c r="D48" s="870">
        <v>0.025</v>
      </c>
      <c r="E48" s="1099"/>
    </row>
    <row r="49" spans="1:5" ht="12.75">
      <c r="A49" s="848" t="s">
        <v>497</v>
      </c>
      <c r="B49" s="843">
        <f>'Приложение №1'!B50</f>
        <v>0</v>
      </c>
      <c r="C49" s="867">
        <f>B49*D49</f>
        <v>0</v>
      </c>
      <c r="D49" s="869"/>
      <c r="E49" s="1100"/>
    </row>
  </sheetData>
  <sheetProtection/>
  <mergeCells count="1">
    <mergeCell ref="E46:E4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2012-07-25T02:04:24Z</cp:lastPrinted>
  <dcterms:created xsi:type="dcterms:W3CDTF">2007-01-24T02:52:45Z</dcterms:created>
  <dcterms:modified xsi:type="dcterms:W3CDTF">2012-07-25T02:05:01Z</dcterms:modified>
  <cp:category/>
  <cp:version/>
  <cp:contentType/>
  <cp:contentStatus/>
</cp:coreProperties>
</file>